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kohoaki\Tampereen seutu\Talouspalvelut VES - General\Osavuosikatsaukset\Osavuosikatsaus 2022\1-6_2022\"/>
    </mc:Choice>
  </mc:AlternateContent>
  <xr:revisionPtr revIDLastSave="154" documentId="6_{6CA52860-B3E9-4067-9444-8E5008A2E48A}" xr6:coauthVersionLast="36" xr6:coauthVersionMax="36" xr10:uidLastSave="{86DC6180-B2FD-46D4-9A54-C2640E2A8AE0}"/>
  <bookViews>
    <workbookView xWindow="0" yWindow="0" windowWidth="21570" windowHeight="7515" xr2:uid="{00000000-000D-0000-FFFF-FFFF00000000}"/>
  </bookViews>
  <sheets>
    <sheet name="Koko kunta 06_2022" sheetId="3" r:id="rId1"/>
    <sheet name="Tuloslaskelma ulk ja sis_esitys" sheetId="5" r:id="rId2"/>
    <sheet name="Tuloslaskelma ulk ja sis" sheetId="6" r:id="rId3"/>
  </sheets>
  <externalReferences>
    <externalReference r:id="rId4"/>
  </externalReferences>
  <definedNames>
    <definedName name="HTML_CodePage" hidden="1">1252</definedName>
    <definedName name="HTML_Control" hidden="1">{"'vastuut'!$B$1:$J$16"}</definedName>
    <definedName name="HTML_Description" hidden="1">""</definedName>
    <definedName name="HTML_Email" hidden="1">""</definedName>
    <definedName name="HTML_Header" hidden="1">""</definedName>
    <definedName name="HTML_LastUpdate" hidden="1">"18.9.2001"</definedName>
    <definedName name="HTML_LineAfter" hidden="1">FALSE</definedName>
    <definedName name="HTML_LineBefore" hidden="1">FALSE</definedName>
    <definedName name="HTML_Name" hidden="1">"Heli Kiuru"</definedName>
    <definedName name="HTML_OBDlg2" hidden="1">TRUE</definedName>
    <definedName name="HTML_OBDlg4" hidden="1">TRUE</definedName>
    <definedName name="HTML_OS" hidden="1">0</definedName>
    <definedName name="HTML_PathFile" hidden="1">"C:\Webbikansio\totteto08.htm"</definedName>
    <definedName name="HTML_Title" hidden="1">"teto08"</definedName>
  </definedNames>
  <calcPr calcId="191029"/>
</workbook>
</file>

<file path=xl/calcChain.xml><?xml version="1.0" encoding="utf-8"?>
<calcChain xmlns="http://schemas.openxmlformats.org/spreadsheetml/2006/main">
  <c r="I39" i="3" l="1"/>
  <c r="G56" i="5" l="1"/>
  <c r="G55" i="5"/>
  <c r="G54" i="5"/>
  <c r="G53" i="5"/>
  <c r="I34" i="3" l="1"/>
  <c r="I27" i="3"/>
  <c r="H35" i="6"/>
  <c r="C64" i="6" l="1"/>
  <c r="C61" i="6"/>
  <c r="J56" i="6"/>
  <c r="K56" i="6" s="1"/>
  <c r="R56" i="6"/>
  <c r="G56" i="6"/>
  <c r="O47" i="6"/>
  <c r="O46" i="6"/>
  <c r="R45" i="6"/>
  <c r="O45" i="6"/>
  <c r="Q45" i="6" s="1"/>
  <c r="H45" i="6"/>
  <c r="G45" i="6"/>
  <c r="R41" i="6"/>
  <c r="O41" i="6"/>
  <c r="Q41" i="6" s="1"/>
  <c r="M41" i="6"/>
  <c r="G41" i="6"/>
  <c r="F41" i="6"/>
  <c r="O40" i="6"/>
  <c r="J35" i="6"/>
  <c r="C62" i="6" s="1"/>
  <c r="I35" i="6"/>
  <c r="G35" i="6"/>
  <c r="F35" i="6"/>
  <c r="E35" i="6"/>
  <c r="D35" i="6"/>
  <c r="R34" i="6"/>
  <c r="O34" i="6"/>
  <c r="Q34" i="6" s="1"/>
  <c r="L34" i="6"/>
  <c r="M34" i="6" s="1"/>
  <c r="G34" i="6"/>
  <c r="R33" i="6"/>
  <c r="Q33" i="6"/>
  <c r="O33" i="6"/>
  <c r="L33" i="6"/>
  <c r="M33" i="6" s="1"/>
  <c r="G33" i="6"/>
  <c r="R32" i="6"/>
  <c r="O32" i="6"/>
  <c r="Q32" i="6" s="1"/>
  <c r="M32" i="6"/>
  <c r="L32" i="6"/>
  <c r="G32" i="6"/>
  <c r="R31" i="6"/>
  <c r="O31" i="6"/>
  <c r="Q31" i="6" s="1"/>
  <c r="L31" i="6"/>
  <c r="M31" i="6" s="1"/>
  <c r="M35" i="6" s="1"/>
  <c r="G31" i="6"/>
  <c r="O30" i="6"/>
  <c r="R29" i="6"/>
  <c r="Q29" i="6"/>
  <c r="O29" i="6"/>
  <c r="M29" i="6"/>
  <c r="L29" i="6"/>
  <c r="G29" i="6"/>
  <c r="R28" i="6"/>
  <c r="M28" i="6"/>
  <c r="L28" i="6"/>
  <c r="J28" i="6"/>
  <c r="C60" i="6" s="1"/>
  <c r="G28" i="6"/>
  <c r="C25" i="6"/>
  <c r="C37" i="6" s="1"/>
  <c r="J23" i="6"/>
  <c r="O23" i="6" s="1"/>
  <c r="Q23" i="6" s="1"/>
  <c r="H23" i="6"/>
  <c r="I23" i="6" s="1"/>
  <c r="F23" i="6"/>
  <c r="F53" i="6" s="1"/>
  <c r="E23" i="6"/>
  <c r="D23" i="6"/>
  <c r="C23" i="6"/>
  <c r="R22" i="6"/>
  <c r="O22" i="6"/>
  <c r="Q22" i="6" s="1"/>
  <c r="L22" i="6"/>
  <c r="M22" i="6" s="1"/>
  <c r="G22" i="6"/>
  <c r="R21" i="6"/>
  <c r="Q21" i="6"/>
  <c r="O21" i="6"/>
  <c r="L21" i="6"/>
  <c r="M21" i="6" s="1"/>
  <c r="G21" i="6"/>
  <c r="R20" i="6"/>
  <c r="O20" i="6"/>
  <c r="Q20" i="6" s="1"/>
  <c r="M20" i="6"/>
  <c r="L20" i="6"/>
  <c r="G20" i="6"/>
  <c r="R19" i="6"/>
  <c r="O19" i="6"/>
  <c r="Q19" i="6" s="1"/>
  <c r="L19" i="6"/>
  <c r="M19" i="6" s="1"/>
  <c r="G19" i="6"/>
  <c r="R18" i="6"/>
  <c r="O18" i="6"/>
  <c r="Q18" i="6" s="1"/>
  <c r="L18" i="6"/>
  <c r="M18" i="6" s="1"/>
  <c r="G18" i="6"/>
  <c r="R17" i="6"/>
  <c r="Q17" i="6"/>
  <c r="O17" i="6"/>
  <c r="L17" i="6"/>
  <c r="L23" i="6" s="1"/>
  <c r="G17" i="6"/>
  <c r="R16" i="6"/>
  <c r="O16" i="6"/>
  <c r="Q16" i="6" s="1"/>
  <c r="M16" i="6"/>
  <c r="L16" i="6"/>
  <c r="G16" i="6"/>
  <c r="G23" i="6" s="1"/>
  <c r="O15" i="6"/>
  <c r="O14" i="6"/>
  <c r="J12" i="6"/>
  <c r="J25" i="6" s="1"/>
  <c r="H12" i="6"/>
  <c r="I12" i="6" s="1"/>
  <c r="F12" i="6"/>
  <c r="E12" i="6"/>
  <c r="E53" i="6" s="1"/>
  <c r="D12" i="6"/>
  <c r="D53" i="6" s="1"/>
  <c r="C12" i="6"/>
  <c r="C53" i="6" s="1"/>
  <c r="R11" i="6"/>
  <c r="Q11" i="6"/>
  <c r="O11" i="6"/>
  <c r="M11" i="6"/>
  <c r="L11" i="6"/>
  <c r="G11" i="6"/>
  <c r="R10" i="6"/>
  <c r="O10" i="6"/>
  <c r="Q10" i="6" s="1"/>
  <c r="M10" i="6"/>
  <c r="L10" i="6"/>
  <c r="G10" i="6"/>
  <c r="R9" i="6"/>
  <c r="O9" i="6"/>
  <c r="Q9" i="6" s="1"/>
  <c r="L9" i="6"/>
  <c r="M9" i="6" s="1"/>
  <c r="G9" i="6"/>
  <c r="G12" i="6" s="1"/>
  <c r="G25" i="6" s="1"/>
  <c r="G37" i="6" s="1"/>
  <c r="G43" i="6" s="1"/>
  <c r="G49" i="6" s="1"/>
  <c r="R8" i="6"/>
  <c r="Q8" i="6"/>
  <c r="O8" i="6"/>
  <c r="L8" i="6"/>
  <c r="M8" i="6" s="1"/>
  <c r="G8" i="6"/>
  <c r="L56" i="6" l="1"/>
  <c r="M56" i="6" s="1"/>
  <c r="R12" i="6"/>
  <c r="R35" i="6"/>
  <c r="H25" i="6"/>
  <c r="I25" i="6" s="1"/>
  <c r="R23" i="6"/>
  <c r="C54" i="6"/>
  <c r="C43" i="6"/>
  <c r="C49" i="6" s="1"/>
  <c r="C55" i="6"/>
  <c r="M23" i="6"/>
  <c r="M12" i="6"/>
  <c r="G53" i="6"/>
  <c r="J37" i="6"/>
  <c r="O25" i="6"/>
  <c r="Q25" i="6" s="1"/>
  <c r="R25" i="6"/>
  <c r="R37" i="6" s="1"/>
  <c r="R43" i="6" s="1"/>
  <c r="R49" i="6" s="1"/>
  <c r="M17" i="6"/>
  <c r="D25" i="6"/>
  <c r="D37" i="6" s="1"/>
  <c r="O28" i="6"/>
  <c r="Q28" i="6" s="1"/>
  <c r="L12" i="6"/>
  <c r="E25" i="6"/>
  <c r="E37" i="6" s="1"/>
  <c r="L35" i="6"/>
  <c r="H53" i="6"/>
  <c r="R53" i="6" s="1"/>
  <c r="F25" i="6"/>
  <c r="F37" i="6" s="1"/>
  <c r="O12" i="6"/>
  <c r="Q12" i="6" s="1"/>
  <c r="O35" i="6"/>
  <c r="Q35" i="6" s="1"/>
  <c r="J53" i="6"/>
  <c r="H37" i="6" l="1"/>
  <c r="H54" i="6" s="1"/>
  <c r="E43" i="6"/>
  <c r="E49" i="6" s="1"/>
  <c r="E55" i="6"/>
  <c r="E54" i="6"/>
  <c r="J55" i="6"/>
  <c r="J54" i="6"/>
  <c r="J43" i="6"/>
  <c r="O37" i="6"/>
  <c r="Q37" i="6" s="1"/>
  <c r="L25" i="6"/>
  <c r="L37" i="6" s="1"/>
  <c r="L53" i="6"/>
  <c r="M53" i="6"/>
  <c r="M25" i="6"/>
  <c r="M37" i="6" s="1"/>
  <c r="D54" i="6"/>
  <c r="D43" i="6"/>
  <c r="D49" i="6" s="1"/>
  <c r="D55" i="6"/>
  <c r="F43" i="6"/>
  <c r="F49" i="6" s="1"/>
  <c r="F55" i="6"/>
  <c r="G55" i="6" s="1"/>
  <c r="F54" i="6"/>
  <c r="G54" i="6" s="1"/>
  <c r="I37" i="6" l="1"/>
  <c r="H55" i="6"/>
  <c r="R55" i="6" s="1"/>
  <c r="H43" i="6"/>
  <c r="H49" i="6" s="1"/>
  <c r="L54" i="6"/>
  <c r="L43" i="6"/>
  <c r="L49" i="6" s="1"/>
  <c r="L55" i="6"/>
  <c r="M54" i="6"/>
  <c r="M43" i="6"/>
  <c r="M49" i="6" s="1"/>
  <c r="M55" i="6"/>
  <c r="J49" i="6"/>
  <c r="O49" i="6" s="1"/>
  <c r="Q49" i="6" s="1"/>
  <c r="O43" i="6"/>
  <c r="Q43" i="6" s="1"/>
  <c r="R54" i="6"/>
  <c r="K55" i="6" l="1"/>
  <c r="I43" i="6"/>
  <c r="I49" i="6"/>
  <c r="L61" i="6" s="1"/>
  <c r="M61" i="6" s="1"/>
  <c r="I28" i="3" l="1"/>
  <c r="G28" i="3"/>
  <c r="G27" i="3"/>
  <c r="G39" i="3" l="1"/>
  <c r="F41" i="5"/>
  <c r="F55" i="5"/>
  <c r="F54" i="5"/>
  <c r="F53" i="5"/>
  <c r="F35" i="5"/>
  <c r="F23" i="5"/>
  <c r="F12" i="5"/>
  <c r="H27" i="3" l="1"/>
  <c r="G43" i="3"/>
  <c r="G34" i="3"/>
  <c r="G23" i="3"/>
  <c r="G12" i="3"/>
  <c r="F12" i="3"/>
  <c r="C64" i="5" l="1"/>
  <c r="C61" i="5"/>
  <c r="R56" i="5"/>
  <c r="J56" i="5"/>
  <c r="L56" i="5" s="1"/>
  <c r="M56" i="5" s="1"/>
  <c r="J53" i="5"/>
  <c r="O47" i="5"/>
  <c r="O46" i="5"/>
  <c r="O45" i="5"/>
  <c r="Q45" i="5" s="1"/>
  <c r="H45" i="5"/>
  <c r="R45" i="5" s="1"/>
  <c r="G45" i="5"/>
  <c r="R41" i="5"/>
  <c r="Q41" i="5"/>
  <c r="O41" i="5"/>
  <c r="M41" i="5"/>
  <c r="G41" i="5"/>
  <c r="O40" i="5"/>
  <c r="J35" i="5"/>
  <c r="C62" i="5" s="1"/>
  <c r="E35" i="5"/>
  <c r="D35" i="5"/>
  <c r="R34" i="5"/>
  <c r="Q34" i="5"/>
  <c r="O34" i="5"/>
  <c r="M34" i="5"/>
  <c r="L34" i="5"/>
  <c r="G34" i="5"/>
  <c r="O33" i="5"/>
  <c r="Q33" i="5" s="1"/>
  <c r="M33" i="5"/>
  <c r="L33" i="5"/>
  <c r="R33" i="5"/>
  <c r="G33" i="5"/>
  <c r="O32" i="5"/>
  <c r="Q32" i="5" s="1"/>
  <c r="M32" i="5"/>
  <c r="L32" i="5"/>
  <c r="R32" i="5"/>
  <c r="G32" i="5"/>
  <c r="Q31" i="5"/>
  <c r="O31" i="5"/>
  <c r="L31" i="5"/>
  <c r="L35" i="5" s="1"/>
  <c r="H35" i="5"/>
  <c r="I35" i="5" s="1"/>
  <c r="G31" i="5"/>
  <c r="G35" i="5" s="1"/>
  <c r="O30" i="5"/>
  <c r="Q29" i="5"/>
  <c r="O29" i="5"/>
  <c r="L29" i="5"/>
  <c r="M29" i="5" s="1"/>
  <c r="R29" i="5"/>
  <c r="G29" i="5"/>
  <c r="R28" i="5"/>
  <c r="M28" i="5"/>
  <c r="L28" i="5"/>
  <c r="J28" i="5"/>
  <c r="O28" i="5" s="1"/>
  <c r="Q28" i="5" s="1"/>
  <c r="G28" i="5"/>
  <c r="J25" i="5"/>
  <c r="C25" i="5"/>
  <c r="C37" i="5" s="1"/>
  <c r="J23" i="5"/>
  <c r="E23" i="5"/>
  <c r="O23" i="5" s="1"/>
  <c r="Q23" i="5" s="1"/>
  <c r="D23" i="5"/>
  <c r="C23" i="5"/>
  <c r="O22" i="5"/>
  <c r="Q22" i="5" s="1"/>
  <c r="L22" i="5"/>
  <c r="M22" i="5" s="1"/>
  <c r="R22" i="5"/>
  <c r="G22" i="5"/>
  <c r="Q21" i="5"/>
  <c r="O21" i="5"/>
  <c r="L21" i="5"/>
  <c r="M21" i="5" s="1"/>
  <c r="R21" i="5"/>
  <c r="G21" i="5"/>
  <c r="O20" i="5"/>
  <c r="Q20" i="5" s="1"/>
  <c r="L20" i="5"/>
  <c r="M20" i="5" s="1"/>
  <c r="R20" i="5"/>
  <c r="G20" i="5"/>
  <c r="Q19" i="5"/>
  <c r="O19" i="5"/>
  <c r="M19" i="5"/>
  <c r="L19" i="5"/>
  <c r="R19" i="5"/>
  <c r="G19" i="5"/>
  <c r="R18" i="5"/>
  <c r="Q18" i="5"/>
  <c r="O18" i="5"/>
  <c r="L18" i="5"/>
  <c r="M18" i="5" s="1"/>
  <c r="G18" i="5"/>
  <c r="R17" i="5"/>
  <c r="Q17" i="5"/>
  <c r="O17" i="5"/>
  <c r="M17" i="5"/>
  <c r="L17" i="5"/>
  <c r="G17" i="5"/>
  <c r="O16" i="5"/>
  <c r="Q16" i="5" s="1"/>
  <c r="M16" i="5"/>
  <c r="M23" i="5" s="1"/>
  <c r="L16" i="5"/>
  <c r="L23" i="5" s="1"/>
  <c r="R16" i="5"/>
  <c r="G16" i="5"/>
  <c r="O15" i="5"/>
  <c r="O14" i="5"/>
  <c r="J12" i="5"/>
  <c r="E12" i="5"/>
  <c r="E53" i="5" s="1"/>
  <c r="D12" i="5"/>
  <c r="D53" i="5" s="1"/>
  <c r="C12" i="5"/>
  <c r="C53" i="5" s="1"/>
  <c r="O11" i="5"/>
  <c r="Q11" i="5" s="1"/>
  <c r="L11" i="5"/>
  <c r="M11" i="5" s="1"/>
  <c r="R11" i="5"/>
  <c r="G11" i="5"/>
  <c r="Q10" i="5"/>
  <c r="O10" i="5"/>
  <c r="L10" i="5"/>
  <c r="M10" i="5" s="1"/>
  <c r="R10" i="5"/>
  <c r="G10" i="5"/>
  <c r="O9" i="5"/>
  <c r="Q9" i="5" s="1"/>
  <c r="L9" i="5"/>
  <c r="L12" i="5" s="1"/>
  <c r="R9" i="5"/>
  <c r="G9" i="5"/>
  <c r="R8" i="5"/>
  <c r="Q8" i="5"/>
  <c r="O8" i="5"/>
  <c r="M8" i="5"/>
  <c r="L8" i="5"/>
  <c r="H12" i="5"/>
  <c r="G8" i="5"/>
  <c r="K56" i="5" l="1"/>
  <c r="G23" i="5"/>
  <c r="R23" i="5"/>
  <c r="H23" i="5"/>
  <c r="I23" i="5" s="1"/>
  <c r="G12" i="5"/>
  <c r="G25" i="5" s="1"/>
  <c r="G37" i="5" s="1"/>
  <c r="G43" i="5" s="1"/>
  <c r="G49" i="5" s="1"/>
  <c r="J37" i="5"/>
  <c r="J43" i="5" s="1"/>
  <c r="R12" i="5"/>
  <c r="R25" i="5" s="1"/>
  <c r="C54" i="5"/>
  <c r="C43" i="5"/>
  <c r="C49" i="5" s="1"/>
  <c r="C55" i="5"/>
  <c r="I12" i="5"/>
  <c r="H25" i="5"/>
  <c r="L25" i="5"/>
  <c r="L37" i="5" s="1"/>
  <c r="L53" i="5"/>
  <c r="O12" i="5"/>
  <c r="Q12" i="5" s="1"/>
  <c r="M31" i="5"/>
  <c r="M35" i="5" s="1"/>
  <c r="C60" i="5"/>
  <c r="M9" i="5"/>
  <c r="M12" i="5" s="1"/>
  <c r="D25" i="5"/>
  <c r="D37" i="5" s="1"/>
  <c r="O35" i="5"/>
  <c r="Q35" i="5" s="1"/>
  <c r="E25" i="5"/>
  <c r="E37" i="5" s="1"/>
  <c r="O25" i="5"/>
  <c r="Q25" i="5" s="1"/>
  <c r="R31" i="5"/>
  <c r="R35" i="5" s="1"/>
  <c r="F25" i="5"/>
  <c r="F37" i="5" s="1"/>
  <c r="H53" i="5" l="1"/>
  <c r="R53" i="5" s="1"/>
  <c r="J54" i="5"/>
  <c r="O37" i="5"/>
  <c r="Q37" i="5" s="1"/>
  <c r="J55" i="5"/>
  <c r="I25" i="5"/>
  <c r="H37" i="5"/>
  <c r="E43" i="5"/>
  <c r="E49" i="5" s="1"/>
  <c r="E55" i="5"/>
  <c r="E54" i="5"/>
  <c r="D54" i="5"/>
  <c r="D43" i="5"/>
  <c r="D49" i="5" s="1"/>
  <c r="D55" i="5"/>
  <c r="L54" i="5"/>
  <c r="L43" i="5"/>
  <c r="L49" i="5" s="1"/>
  <c r="L55" i="5"/>
  <c r="M53" i="5"/>
  <c r="M25" i="5"/>
  <c r="M37" i="5" s="1"/>
  <c r="F43" i="5"/>
  <c r="F49" i="5" s="1"/>
  <c r="J49" i="5"/>
  <c r="R37" i="5"/>
  <c r="R43" i="5" s="1"/>
  <c r="R49" i="5" s="1"/>
  <c r="O43" i="5" l="1"/>
  <c r="Q43" i="5" s="1"/>
  <c r="H55" i="5"/>
  <c r="I37" i="5"/>
  <c r="H54" i="5"/>
  <c r="R54" i="5" s="1"/>
  <c r="H43" i="5"/>
  <c r="M54" i="5"/>
  <c r="M43" i="5"/>
  <c r="M49" i="5" s="1"/>
  <c r="M55" i="5"/>
  <c r="O49" i="5"/>
  <c r="Q49" i="5" s="1"/>
  <c r="H49" i="5" l="1"/>
  <c r="I43" i="5"/>
  <c r="R55" i="5"/>
  <c r="K55" i="5"/>
  <c r="I49" i="5" l="1"/>
  <c r="L61" i="5" s="1"/>
  <c r="M61" i="5" s="1"/>
  <c r="I43" i="3" l="1"/>
  <c r="F43" i="3"/>
  <c r="F39" i="3"/>
  <c r="P39" i="3" s="1"/>
  <c r="R39" i="3" s="1"/>
  <c r="F34" i="3"/>
  <c r="F28" i="3"/>
  <c r="P28" i="3" s="1"/>
  <c r="R28" i="3" s="1"/>
  <c r="F27" i="3"/>
  <c r="S27" i="3" s="1"/>
  <c r="F23" i="3"/>
  <c r="E43" i="3"/>
  <c r="E39" i="3"/>
  <c r="E34" i="3"/>
  <c r="E28" i="3"/>
  <c r="E27" i="3"/>
  <c r="E23" i="3"/>
  <c r="E12" i="3"/>
  <c r="H39" i="3"/>
  <c r="T54" i="3"/>
  <c r="D62" i="3"/>
  <c r="D59" i="3"/>
  <c r="S54" i="3"/>
  <c r="K54" i="3"/>
  <c r="M54" i="3" s="1"/>
  <c r="N54" i="3" s="1"/>
  <c r="H54" i="3"/>
  <c r="P45" i="3"/>
  <c r="P44" i="3"/>
  <c r="P43" i="3"/>
  <c r="R43" i="3" s="1"/>
  <c r="H43" i="3"/>
  <c r="N39" i="3"/>
  <c r="P38" i="3"/>
  <c r="K34" i="3"/>
  <c r="D60" i="3" s="1"/>
  <c r="P33" i="3"/>
  <c r="R33" i="3" s="1"/>
  <c r="M33" i="3"/>
  <c r="N33" i="3" s="1"/>
  <c r="S33" i="3"/>
  <c r="H33" i="3"/>
  <c r="P32" i="3"/>
  <c r="R32" i="3" s="1"/>
  <c r="M32" i="3"/>
  <c r="N32" i="3" s="1"/>
  <c r="S32" i="3"/>
  <c r="H32" i="3"/>
  <c r="P31" i="3"/>
  <c r="R31" i="3" s="1"/>
  <c r="M31" i="3"/>
  <c r="N31" i="3" s="1"/>
  <c r="S31" i="3"/>
  <c r="H31" i="3"/>
  <c r="P30" i="3"/>
  <c r="R30" i="3" s="1"/>
  <c r="M30" i="3"/>
  <c r="T30" i="3"/>
  <c r="H30" i="3"/>
  <c r="P29" i="3"/>
  <c r="M28" i="3"/>
  <c r="N28" i="3" s="1"/>
  <c r="N27" i="3"/>
  <c r="M27" i="3"/>
  <c r="K27" i="3"/>
  <c r="K23" i="3"/>
  <c r="D23" i="3"/>
  <c r="P22" i="3"/>
  <c r="R22" i="3" s="1"/>
  <c r="M22" i="3"/>
  <c r="N22" i="3" s="1"/>
  <c r="T22" i="3"/>
  <c r="H22" i="3"/>
  <c r="P21" i="3"/>
  <c r="R21" i="3" s="1"/>
  <c r="M21" i="3"/>
  <c r="N21" i="3" s="1"/>
  <c r="S21" i="3"/>
  <c r="H21" i="3"/>
  <c r="P20" i="3"/>
  <c r="R20" i="3" s="1"/>
  <c r="M20" i="3"/>
  <c r="N20" i="3" s="1"/>
  <c r="S20" i="3"/>
  <c r="H20" i="3"/>
  <c r="P19" i="3"/>
  <c r="R19" i="3" s="1"/>
  <c r="M19" i="3"/>
  <c r="N19" i="3" s="1"/>
  <c r="S19" i="3"/>
  <c r="H19" i="3"/>
  <c r="P18" i="3"/>
  <c r="R18" i="3" s="1"/>
  <c r="M18" i="3"/>
  <c r="N18" i="3" s="1"/>
  <c r="S18" i="3"/>
  <c r="H18" i="3"/>
  <c r="P17" i="3"/>
  <c r="R17" i="3" s="1"/>
  <c r="M17" i="3"/>
  <c r="N17" i="3" s="1"/>
  <c r="S17" i="3"/>
  <c r="H17" i="3"/>
  <c r="P16" i="3"/>
  <c r="R16" i="3" s="1"/>
  <c r="M16" i="3"/>
  <c r="S16" i="3"/>
  <c r="H16" i="3"/>
  <c r="P15" i="3"/>
  <c r="P14" i="3"/>
  <c r="K12" i="3"/>
  <c r="K51" i="3" s="1"/>
  <c r="D12" i="3"/>
  <c r="P11" i="3"/>
  <c r="R11" i="3" s="1"/>
  <c r="M11" i="3"/>
  <c r="N11" i="3" s="1"/>
  <c r="S11" i="3"/>
  <c r="H11" i="3"/>
  <c r="P10" i="3"/>
  <c r="R10" i="3" s="1"/>
  <c r="M10" i="3"/>
  <c r="N10" i="3" s="1"/>
  <c r="S10" i="3"/>
  <c r="H10" i="3"/>
  <c r="P9" i="3"/>
  <c r="R9" i="3" s="1"/>
  <c r="M9" i="3"/>
  <c r="S9" i="3"/>
  <c r="H9" i="3"/>
  <c r="P8" i="3"/>
  <c r="R8" i="3" s="1"/>
  <c r="M8" i="3"/>
  <c r="N8" i="3" s="1"/>
  <c r="T8" i="3"/>
  <c r="H8" i="3"/>
  <c r="E25" i="3" l="1"/>
  <c r="E36" i="3" s="1"/>
  <c r="E53" i="3" s="1"/>
  <c r="T32" i="3"/>
  <c r="H34" i="3"/>
  <c r="J34" i="3"/>
  <c r="I12" i="3"/>
  <c r="I23" i="3"/>
  <c r="J23" i="3" s="1"/>
  <c r="M12" i="3"/>
  <c r="H23" i="3"/>
  <c r="H12" i="3"/>
  <c r="T28" i="3"/>
  <c r="S43" i="3"/>
  <c r="P27" i="3"/>
  <c r="R27" i="3" s="1"/>
  <c r="E51" i="3"/>
  <c r="S22" i="3"/>
  <c r="S23" i="3" s="1"/>
  <c r="F51" i="3"/>
  <c r="G51" i="3"/>
  <c r="M23" i="3"/>
  <c r="T16" i="3"/>
  <c r="T20" i="3"/>
  <c r="T43" i="3"/>
  <c r="T27" i="3"/>
  <c r="S39" i="3"/>
  <c r="H28" i="3"/>
  <c r="S28" i="3"/>
  <c r="M34" i="3"/>
  <c r="T31" i="3"/>
  <c r="S30" i="3"/>
  <c r="S34" i="3" s="1"/>
  <c r="T33" i="3"/>
  <c r="N16" i="3"/>
  <c r="N23" i="3" s="1"/>
  <c r="T19" i="3"/>
  <c r="T21" i="3"/>
  <c r="T18" i="3"/>
  <c r="T17" i="3"/>
  <c r="D51" i="3"/>
  <c r="P23" i="3"/>
  <c r="R23" i="3" s="1"/>
  <c r="T11" i="3"/>
  <c r="T10" i="3"/>
  <c r="T9" i="3"/>
  <c r="T12" i="3" s="1"/>
  <c r="D25" i="3"/>
  <c r="D36" i="3" s="1"/>
  <c r="D41" i="3" s="1"/>
  <c r="D47" i="3" s="1"/>
  <c r="F25" i="3"/>
  <c r="F36" i="3" s="1"/>
  <c r="F53" i="3" s="1"/>
  <c r="K25" i="3"/>
  <c r="S8" i="3"/>
  <c r="S12" i="3" s="1"/>
  <c r="P12" i="3"/>
  <c r="R12" i="3" s="1"/>
  <c r="N30" i="3"/>
  <c r="N34" i="3" s="1"/>
  <c r="D58" i="3"/>
  <c r="N9" i="3"/>
  <c r="N12" i="3" s="1"/>
  <c r="P34" i="3"/>
  <c r="R34" i="3" s="1"/>
  <c r="G25" i="3"/>
  <c r="G36" i="3" s="1"/>
  <c r="G53" i="3" s="1"/>
  <c r="L54" i="3"/>
  <c r="M51" i="3" l="1"/>
  <c r="H53" i="3"/>
  <c r="G41" i="3"/>
  <c r="G47" i="3" s="1"/>
  <c r="E41" i="3"/>
  <c r="E47" i="3" s="1"/>
  <c r="E52" i="3"/>
  <c r="H25" i="3"/>
  <c r="H36" i="3" s="1"/>
  <c r="M25" i="3"/>
  <c r="M36" i="3" s="1"/>
  <c r="M41" i="3" s="1"/>
  <c r="M47" i="3" s="1"/>
  <c r="T34" i="3"/>
  <c r="T23" i="3"/>
  <c r="T25" i="3" s="1"/>
  <c r="C68" i="3" s="1"/>
  <c r="C71" i="3"/>
  <c r="H51" i="3"/>
  <c r="I51" i="3"/>
  <c r="T51" i="3" s="1"/>
  <c r="D52" i="3"/>
  <c r="F41" i="3"/>
  <c r="F47" i="3" s="1"/>
  <c r="T39" i="3"/>
  <c r="P25" i="3"/>
  <c r="R25" i="3" s="1"/>
  <c r="F52" i="3"/>
  <c r="I25" i="3"/>
  <c r="J25" i="3" s="1"/>
  <c r="K36" i="3"/>
  <c r="K41" i="3" s="1"/>
  <c r="D53" i="3"/>
  <c r="J12" i="3"/>
  <c r="N51" i="3"/>
  <c r="N25" i="3"/>
  <c r="N36" i="3" s="1"/>
  <c r="G52" i="3"/>
  <c r="S25" i="3"/>
  <c r="S36" i="3" s="1"/>
  <c r="S41" i="3" s="1"/>
  <c r="S47" i="3" s="1"/>
  <c r="M52" i="3" l="1"/>
  <c r="M53" i="3"/>
  <c r="S51" i="3"/>
  <c r="T36" i="3"/>
  <c r="T41" i="3" s="1"/>
  <c r="T47" i="3" s="1"/>
  <c r="H41" i="3"/>
  <c r="H47" i="3" s="1"/>
  <c r="H52" i="3"/>
  <c r="P36" i="3"/>
  <c r="R36" i="3" s="1"/>
  <c r="K52" i="3"/>
  <c r="I36" i="3"/>
  <c r="I53" i="3" s="1"/>
  <c r="T53" i="3" s="1"/>
  <c r="K53" i="3"/>
  <c r="N52" i="3"/>
  <c r="N53" i="3"/>
  <c r="N41" i="3"/>
  <c r="N47" i="3" s="1"/>
  <c r="P41" i="3"/>
  <c r="R41" i="3" s="1"/>
  <c r="K47" i="3"/>
  <c r="P47" i="3" s="1"/>
  <c r="R47" i="3" s="1"/>
  <c r="I52" i="3" l="1"/>
  <c r="S52" i="3" s="1"/>
  <c r="J36" i="3"/>
  <c r="I41" i="3"/>
  <c r="J41" i="3" s="1"/>
  <c r="I47" i="3" l="1"/>
  <c r="C65" i="3" s="1"/>
  <c r="T52" i="3"/>
  <c r="S53" i="3"/>
  <c r="L53" i="3"/>
  <c r="J47" i="3" l="1"/>
  <c r="M59" i="3" s="1"/>
  <c r="N59"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Kohonen Aki</author>
  </authors>
  <commentList>
    <comment ref="I8" authorId="0" shapeId="0" xr:uid="{4F68F425-C32E-48C5-8578-FDE4A5CFE37C}">
      <text>
        <r>
          <rPr>
            <b/>
            <sz val="9"/>
            <color indexed="81"/>
            <rFont val="Tahoma"/>
            <family val="2"/>
          </rPr>
          <t>Kohonen Aki:</t>
        </r>
        <r>
          <rPr>
            <sz val="9"/>
            <color indexed="81"/>
            <rFont val="Tahoma"/>
            <family val="2"/>
          </rPr>
          <t xml:space="preserve">
Huomioitu puuttuvat:
- Sisäiset laskutukset (30159 = ateriat, siivoukset &amp; kuljetukset) n. 97 500 €/kk. Kesäkuu jäänyt laskuttamatta.
- Helena Urvanta/Lempäälän Vesi (5.8.2022): Kaudelle 07/2022 toteutunut n. 94 t€ on ajalta 1.1.-30.6.2022. Loppuvuodelle on toteutumassa vielä arviolta n. 78 t€, jolloin vuoden 2022 arvioitu toteuma on n. 172 t€. </t>
        </r>
      </text>
    </comment>
    <comment ref="I9" authorId="0" shapeId="0" xr:uid="{D4937CF6-4A00-457D-A02F-E1ED749771D3}">
      <text>
        <r>
          <rPr>
            <b/>
            <sz val="9"/>
            <color indexed="81"/>
            <rFont val="Tahoma"/>
            <family val="2"/>
          </rPr>
          <t>Kohonen Aki:</t>
        </r>
        <r>
          <rPr>
            <sz val="9"/>
            <color indexed="81"/>
            <rFont val="Tahoma"/>
            <family val="2"/>
          </rPr>
          <t xml:space="preserve">
Huomioitu:
- Hoitopäivämaksut (3257) lask. ylitys n. 44 t€
- Rak.valvonta- ja tark.maksut (3285)  lask. ylitys n. 100 t€
Jatkuuko näin? Huomioidaan TP-ennuste hieman alaspäin</t>
        </r>
      </text>
    </comment>
    <comment ref="I10" authorId="0" shapeId="0" xr:uid="{6BF87B0D-C811-4F28-9323-63E139B09DED}">
      <text>
        <r>
          <rPr>
            <b/>
            <sz val="9"/>
            <color indexed="81"/>
            <rFont val="Tahoma"/>
            <family val="2"/>
          </rPr>
          <t>Kohonen Aki:</t>
        </r>
        <r>
          <rPr>
            <sz val="9"/>
            <color indexed="81"/>
            <rFont val="Tahoma"/>
            <family val="2"/>
          </rPr>
          <t xml:space="preserve">
Huomioitu puuttuvat:
- Kuntouttava työtoiminta (3327)  n. 50 t€/v
- EU-tuki kunnan kehittämisproj. (3315)  n. 50 t€/v
- Korvaus työterveysh. (3326)  n. 45 t€/v</t>
        </r>
      </text>
    </comment>
    <comment ref="I11" authorId="0" shapeId="0" xr:uid="{2CF7D645-7E47-4EE8-91EB-B20BB8D3F9FB}">
      <text>
        <r>
          <rPr>
            <b/>
            <sz val="9"/>
            <color indexed="81"/>
            <rFont val="Tahoma"/>
            <family val="2"/>
          </rPr>
          <t>Kohonen Aki:</t>
        </r>
        <r>
          <rPr>
            <sz val="9"/>
            <color indexed="81"/>
            <rFont val="Tahoma"/>
            <family val="2"/>
          </rPr>
          <t xml:space="preserve">
Huomioitu puuttuvat:
- Muut vuokratuotot (3460)  n. 105 t€/v
* 7510 TEK Vesilaitos n. 52,5 t€ &amp; TEK Viemärilaitos n. 52,5 t€
- Käyttöomaisuuden myyntivoitot (3510)/Timo H. (8.8.2022): Uskon vuoden 2022 asettuvan 300 000 € tasolle. Budjettiin olin ennakoinut, että kerrostalojen myynti toteutuu vuoden 2022 aikana. Näistä odotettu myyntivoitto 148897,15 €, joka ei siis toteudu. Muuttujina on vielä Kaakilanmutka ja Palvelukeskusalueen ennakkomarkkinoinnissa olevat kohteet. 
Haastava nykyisessä markkinatilanteessa arvioida miten tonttien myynti tulee kehittymään. Ainakin 2023 vuoden ennustetta joudun varmasti isosti oikaisemaan, koska myytäviä kohteita ei ole ja kustannusten nousulle en näe laskua 2-3 vuoteen.
lask. toteuma n. 365 t€. Arvioidaan toteutuvan n. 300 t€ eli vähennetään ennusteesta -65 t€.</t>
        </r>
      </text>
    </comment>
    <comment ref="I16" authorId="0" shapeId="0" xr:uid="{12669AEF-5DA6-4A06-901C-D10BF8BAEEB6}">
      <text>
        <r>
          <rPr>
            <b/>
            <sz val="9"/>
            <color indexed="81"/>
            <rFont val="Tahoma"/>
            <family val="2"/>
          </rPr>
          <t>Kohonen Aki:</t>
        </r>
        <r>
          <rPr>
            <sz val="9"/>
            <color indexed="81"/>
            <rFont val="Tahoma"/>
            <family val="2"/>
          </rPr>
          <t xml:space="preserve">
Sisältää palkkaneuvottelun vaikutukset (v. 2022 kesk.määrin 1,76 %), koska TA-kirjaan on jo valmiiksi sisällytetty 2,5 %:n Tes-korotukset 03/2022 alkaen</t>
        </r>
      </text>
    </comment>
    <comment ref="I17" authorId="0" shapeId="0" xr:uid="{CFBE031A-C388-4EE6-95DB-5AE73E5EE35F}">
      <text>
        <r>
          <rPr>
            <b/>
            <sz val="9"/>
            <color indexed="81"/>
            <rFont val="Tahoma"/>
            <family val="2"/>
          </rPr>
          <t>Kohonen Aki:</t>
        </r>
        <r>
          <rPr>
            <sz val="9"/>
            <color indexed="81"/>
            <rFont val="Tahoma"/>
            <family val="2"/>
          </rPr>
          <t xml:space="preserve">
Sisältää palkkaneuvottelun vaikutukset (v. 2022 kesk.määrin 1,76 %), koska TA-kirjaan on jo valmiiksi sisällytetty 2,5 %:n Tes-korotukset 03/2022 alkaen</t>
        </r>
      </text>
    </comment>
    <comment ref="I18" authorId="0" shapeId="0" xr:uid="{B990A85F-C432-455F-9D97-0CC87FD2F405}">
      <text>
        <r>
          <rPr>
            <b/>
            <sz val="9"/>
            <color indexed="81"/>
            <rFont val="Tahoma"/>
            <family val="2"/>
          </rPr>
          <t>Kohonen Aki:</t>
        </r>
        <r>
          <rPr>
            <sz val="9"/>
            <color indexed="81"/>
            <rFont val="Tahoma"/>
            <family val="2"/>
          </rPr>
          <t xml:space="preserve">
Sisältää palkkaneuvottelun vaikutukset (v. 2022 kesk.määrin 1,76 %), koska TA-kirjaan on jo valmiiksi sisällytetty 2,5 %:n Tes-korotukset 03/2022 alkaen</t>
        </r>
      </text>
    </comment>
    <comment ref="E19" authorId="0" shapeId="0" xr:uid="{AA54E147-8FF8-43F4-832B-F4ECB7ACE94E}">
      <text>
        <r>
          <rPr>
            <b/>
            <sz val="9"/>
            <color indexed="81"/>
            <rFont val="Tahoma"/>
            <family val="2"/>
          </rPr>
          <t>Kohonen Aki:</t>
        </r>
        <r>
          <rPr>
            <sz val="9"/>
            <color indexed="81"/>
            <rFont val="Tahoma"/>
            <family val="2"/>
          </rPr>
          <t xml:space="preserve">
Tänne lisätty Intimen raporteilta puuttuvat vaikutukset:
- Winter R Rahastoon liittyvät palvelumaksut = -175 € kustannusten lisäys
- Pirkkalan yhteistoiminta-alueen palautukset/hyvitykset = +769 993,70 €</t>
        </r>
      </text>
    </comment>
    <comment ref="G19" authorId="0" shapeId="0" xr:uid="{36097B57-45AC-48ED-97BD-A16CF94D7E08}">
      <text>
        <r>
          <rPr>
            <b/>
            <sz val="9"/>
            <color indexed="81"/>
            <rFont val="Tahoma"/>
            <family val="2"/>
          </rPr>
          <t>Kohonen Aki:</t>
        </r>
        <r>
          <rPr>
            <sz val="9"/>
            <color indexed="81"/>
            <rFont val="Tahoma"/>
            <family val="2"/>
          </rPr>
          <t xml:space="preserve">
Tänne lisätty Intimen raporteilta puuttuvat vaikutukset:
- Winter R Rahastoon liittyvät palvelumaksut = -175 € kustannusten lisäys
- Pirkkalan yhteistoiminta-alueen palautukset/hyvitykset = +769 993,70 €</t>
        </r>
      </text>
    </comment>
    <comment ref="I19" authorId="0" shapeId="0" xr:uid="{AFA2BCFA-9696-4103-BF9E-F813EE0E3935}">
      <text>
        <r>
          <rPr>
            <b/>
            <sz val="9"/>
            <color indexed="81"/>
            <rFont val="Tahoma"/>
            <family val="2"/>
          </rPr>
          <t>Kohonen Aki:</t>
        </r>
        <r>
          <rPr>
            <sz val="9"/>
            <color indexed="81"/>
            <rFont val="Tahoma"/>
            <family val="2"/>
          </rPr>
          <t xml:space="preserve">
Huomioitu puuttuvat:
- Sisäiset laskutukset (44109 ateriat, 43809 siivoukset &amp; 44209 kuljetukset) n. 97 500 €/kk. Kesäkuu jäänyt laskuttamatta.
- sotepalveluita (yta-alue) ei ole vielä huomioitu. TP-ennustetta pyydetty 3.8.</t>
        </r>
      </text>
    </comment>
    <comment ref="I20" authorId="0" shapeId="0" xr:uid="{1CB0E7D1-49C3-4CD3-AA28-4F7F3F9FB802}">
      <text>
        <r>
          <rPr>
            <b/>
            <sz val="9"/>
            <color indexed="81"/>
            <rFont val="Tahoma"/>
            <family val="2"/>
          </rPr>
          <t>Kohonen Aki:</t>
        </r>
        <r>
          <rPr>
            <sz val="9"/>
            <color indexed="81"/>
            <rFont val="Tahoma"/>
            <family val="2"/>
          </rPr>
          <t xml:space="preserve">
Huomioitu:
- Lask. Ennuste n. 1 231 t€. Ennustetaan kuitenkin TA-mukaan, jos laskuja puuttuu lomien vuoksi</t>
        </r>
      </text>
    </comment>
    <comment ref="I21" authorId="0" shapeId="0" xr:uid="{6372ADD2-B135-46E2-A30E-707D9F5902D5}">
      <text>
        <r>
          <rPr>
            <b/>
            <sz val="9"/>
            <color indexed="81"/>
            <rFont val="Tahoma"/>
            <family val="2"/>
          </rPr>
          <t>Kohonen Aki:</t>
        </r>
        <r>
          <rPr>
            <sz val="9"/>
            <color indexed="81"/>
            <rFont val="Tahoma"/>
            <family val="2"/>
          </rPr>
          <t xml:space="preserve">
Huomioitu puuttuvat:
- Yksityistieavustukset peruspar. (4742) n. 12 000 €/kk
- Yksityistieavustukset kunnossapito (4743) n. 77 500 €/v</t>
        </r>
      </text>
    </comment>
    <comment ref="I27" authorId="0" shapeId="0" xr:uid="{D018DADE-DCC4-462B-9CD2-E918B97E0A40}">
      <text>
        <r>
          <rPr>
            <b/>
            <sz val="9"/>
            <color indexed="81"/>
            <rFont val="Tahoma"/>
            <family val="2"/>
          </rPr>
          <t>Kohonen Aki:</t>
        </r>
        <r>
          <rPr>
            <sz val="9"/>
            <color indexed="81"/>
            <rFont val="Tahoma"/>
            <family val="2"/>
          </rPr>
          <t xml:space="preserve">
Veroennustekehikko 08/2022 sis. Kunnan omalla väkilukuennusteella</t>
        </r>
      </text>
    </comment>
    <comment ref="I28" authorId="0" shapeId="0" xr:uid="{1C9E4D03-1D9D-4AC0-8B6D-0C0CDEAD6474}">
      <text>
        <r>
          <rPr>
            <b/>
            <sz val="9"/>
            <color indexed="81"/>
            <rFont val="Tahoma"/>
            <family val="2"/>
          </rPr>
          <t>Kohonen Aki:</t>
        </r>
        <r>
          <rPr>
            <sz val="9"/>
            <color indexed="81"/>
            <rFont val="Tahoma"/>
            <family val="2"/>
          </rPr>
          <t xml:space="preserve">
VM 8.7.2022: Valtiovarainministeriö on tarkentanut vuoden 2022 kuntien peruspalveluiden valtionosuutta ja verotulomenetysten korvauksia.</t>
        </r>
      </text>
    </comment>
    <comment ref="I31" authorId="0" shapeId="0" xr:uid="{09CB9038-B0A1-4D9A-ABE9-2A5E393EE3F6}">
      <text>
        <r>
          <rPr>
            <b/>
            <sz val="9"/>
            <color indexed="81"/>
            <rFont val="Tahoma"/>
            <family val="2"/>
          </rPr>
          <t>Kohonen Aki:</t>
        </r>
        <r>
          <rPr>
            <sz val="9"/>
            <color indexed="81"/>
            <rFont val="Tahoma"/>
            <family val="2"/>
          </rPr>
          <t xml:space="preserve">
Huomioitu puuttuvat:
- Perusp.korot ky:lta (6140) n. 26 t€/v
- Koronvaihtosop. korkotuotot (6169) n. 18,5 t€/v eli lisäystä 06/2022 tilanteeseen n. 5,5 t€ (Kuran lainaraportilta katsottu)</t>
        </r>
      </text>
    </comment>
    <comment ref="I32" authorId="0" shapeId="0" xr:uid="{7A69A211-09A7-418B-B123-A423545E86DB}">
      <text>
        <r>
          <rPr>
            <b/>
            <sz val="9"/>
            <color indexed="81"/>
            <rFont val="Tahoma"/>
            <family val="2"/>
          </rPr>
          <t>Kohonen Aki:</t>
        </r>
        <r>
          <rPr>
            <sz val="9"/>
            <color indexed="81"/>
            <rFont val="Tahoma"/>
            <family val="2"/>
          </rPr>
          <t xml:space="preserve">
Huomioitu puuttuvat:
- Korkokulut lainoista (6210) n. 43 t€/v eli lisäystä 06/2022 tilanteeseen n. 26 t€ (Kuran lainaraportilta katsottu). Kesäkuussa on myös purettu TP2021 jaksotus.</t>
        </r>
      </text>
    </comment>
    <comment ref="E33" authorId="0" shapeId="0" xr:uid="{9A3A8490-5796-4799-AA96-8285A91BB23A}">
      <text>
        <r>
          <rPr>
            <b/>
            <sz val="9"/>
            <color indexed="81"/>
            <rFont val="Tahoma"/>
            <family val="2"/>
          </rPr>
          <t>Kohonen Aki:</t>
        </r>
        <r>
          <rPr>
            <sz val="9"/>
            <color indexed="81"/>
            <rFont val="Tahoma"/>
            <family val="2"/>
          </rPr>
          <t xml:space="preserve">
Tänne lisätty Intimen raporteilta puuttuvat vaikutukset:
- Johdannaissopimuksen (koronvaihtosopimus) vaikutuksesta kirjattu negatiivisen markkina-arvon kirjaus = tili 6379 Koronvaihtosopimuksen korkokulut --&gt; -792 265,69 €</t>
        </r>
      </text>
    </comment>
    <comment ref="G33" authorId="0" shapeId="0" xr:uid="{6F713E49-7766-40A4-B7CB-4941D1490DF3}">
      <text>
        <r>
          <rPr>
            <b/>
            <sz val="9"/>
            <color indexed="81"/>
            <rFont val="Tahoma"/>
            <family val="2"/>
          </rPr>
          <t>Kohonen Aki:</t>
        </r>
        <r>
          <rPr>
            <sz val="9"/>
            <color indexed="81"/>
            <rFont val="Tahoma"/>
            <family val="2"/>
          </rPr>
          <t xml:space="preserve">
Tänne lisätty Intimen raporteilta puuttuvat vaikutukset:
- Johdannaissopimuksen (koronvaihtosopimus) vaikutuksesta kirjattu negatiivisen markkina-arvon kirjaus = tili 6379 Koronvaihtosopimuksen korkokulut --&gt; -792 265,69 €</t>
        </r>
      </text>
    </comment>
    <comment ref="I33" authorId="0" shapeId="0" xr:uid="{E96C8766-781B-46C7-BFC5-51BEA80DFB33}">
      <text>
        <r>
          <rPr>
            <b/>
            <sz val="9"/>
            <color indexed="81"/>
            <rFont val="Tahoma"/>
            <family val="2"/>
          </rPr>
          <t>Kohonen Aki:</t>
        </r>
        <r>
          <rPr>
            <sz val="9"/>
            <color indexed="81"/>
            <rFont val="Tahoma"/>
            <family val="2"/>
          </rPr>
          <t xml:space="preserve">
Huomioitu puuttuvat:
- Koronvaihtosop. korkokulut (6379) n. 97 t€/v eli lisäystä 06/2022 tilanteeseen n. 45 t€ (Kuran lainaraportilta katsottu).
</t>
        </r>
      </text>
    </comment>
    <comment ref="S33" authorId="0" shapeId="0" xr:uid="{51902889-1488-474B-B432-DA391F3D8198}">
      <text>
        <r>
          <rPr>
            <b/>
            <sz val="9"/>
            <color indexed="81"/>
            <rFont val="Tahoma"/>
            <family val="2"/>
          </rPr>
          <t>Kohonen Aki:</t>
        </r>
        <r>
          <rPr>
            <sz val="9"/>
            <color indexed="81"/>
            <rFont val="Tahoma"/>
            <family val="2"/>
          </rPr>
          <t xml:space="preserve">
Tänne lisätty Intimen raporteilta puuttuvat vaikutukset:
- Johdannaissopimuksen (koronvaihtosopimus) vaikutuksesta kirjattu negatiivisen markkina-arvon kirjaus = tili 6379 Koronvaihtosopimuksen korkokulut --&gt; 792 265,69 €
</t>
        </r>
      </text>
    </comment>
    <comment ref="M39" authorId="0" shapeId="0" xr:uid="{0C0473E0-1A57-494F-92D8-12707DC38B79}">
      <text>
        <r>
          <rPr>
            <b/>
            <sz val="9"/>
            <color indexed="81"/>
            <rFont val="Tahoma"/>
            <family val="2"/>
          </rPr>
          <t>Kohonen Aki:</t>
        </r>
        <r>
          <rPr>
            <sz val="9"/>
            <color indexed="81"/>
            <rFont val="Tahoma"/>
            <family val="2"/>
          </rPr>
          <t xml:space="preserve">
Poistotaso kasvaa, mutta kuinka paljon? Tämä nyt arviona</t>
        </r>
      </text>
    </comment>
    <comment ref="N39" authorId="0" shapeId="0" xr:uid="{5978E5C5-5073-4371-AA77-84CB6F155FF4}">
      <text>
        <r>
          <rPr>
            <b/>
            <sz val="9"/>
            <color indexed="81"/>
            <rFont val="Tahoma"/>
            <family val="2"/>
          </rPr>
          <t>Kohonen Aki:</t>
        </r>
        <r>
          <rPr>
            <sz val="9"/>
            <color indexed="81"/>
            <rFont val="Tahoma"/>
            <family val="2"/>
          </rPr>
          <t xml:space="preserve">
Poistotaso kasvaa, mutta kuinka paljon? Tämä nyt arviona</t>
        </r>
      </text>
    </comment>
    <comment ref="K43" authorId="0" shapeId="0" xr:uid="{69F00D87-B9DF-4888-8C6D-476A0ECA43AA}">
      <text>
        <r>
          <rPr>
            <b/>
            <sz val="9"/>
            <color indexed="81"/>
            <rFont val="Tahoma"/>
            <family val="2"/>
          </rPr>
          <t>Kohonen Aki:</t>
        </r>
        <r>
          <rPr>
            <sz val="9"/>
            <color indexed="81"/>
            <rFont val="Tahoma"/>
            <family val="2"/>
          </rPr>
          <t xml:space="preserve">
Näitä ei pahemmin taida olla tulevina vuosina (arvio)</t>
        </r>
      </text>
    </comment>
    <comment ref="M43" authorId="0" shapeId="0" xr:uid="{E6C7C959-A9BA-4111-9E7C-CA98174F16F0}">
      <text>
        <r>
          <rPr>
            <b/>
            <sz val="9"/>
            <color indexed="81"/>
            <rFont val="Tahoma"/>
            <family val="2"/>
          </rPr>
          <t>Kohonen Aki:</t>
        </r>
        <r>
          <rPr>
            <sz val="9"/>
            <color indexed="81"/>
            <rFont val="Tahoma"/>
            <family val="2"/>
          </rPr>
          <t xml:space="preserve">
Näitä ei pahemmin taida olla tulevina vuosina (arvio)</t>
        </r>
      </text>
    </comment>
    <comment ref="N43" authorId="0" shapeId="0" xr:uid="{17B8C763-E67D-4D6C-8205-77FA7AA7D566}">
      <text>
        <r>
          <rPr>
            <b/>
            <sz val="9"/>
            <color indexed="81"/>
            <rFont val="Tahoma"/>
            <family val="2"/>
          </rPr>
          <t>Kohonen Aki:</t>
        </r>
        <r>
          <rPr>
            <sz val="9"/>
            <color indexed="81"/>
            <rFont val="Tahoma"/>
            <family val="2"/>
          </rPr>
          <t xml:space="preserve">
Näitä ei pahemmin taida olla tulevina vuosina (arvio)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Kohonen Aki</author>
  </authors>
  <commentList>
    <comment ref="L41" authorId="0" shapeId="0" xr:uid="{3185AB8F-81A2-4156-9116-40D0670A5764}">
      <text>
        <r>
          <rPr>
            <b/>
            <sz val="9"/>
            <color indexed="81"/>
            <rFont val="Tahoma"/>
            <family val="2"/>
          </rPr>
          <t>Kohonen Aki:</t>
        </r>
        <r>
          <rPr>
            <sz val="9"/>
            <color indexed="81"/>
            <rFont val="Tahoma"/>
            <family val="2"/>
          </rPr>
          <t xml:space="preserve">
Poistotaso kasvaa, mutta kuinka paljon? Tämä nyt arviona</t>
        </r>
      </text>
    </comment>
    <comment ref="M41" authorId="0" shapeId="0" xr:uid="{961A7CD8-1A98-4B02-8BF7-2D5144CBCB73}">
      <text>
        <r>
          <rPr>
            <b/>
            <sz val="9"/>
            <color indexed="81"/>
            <rFont val="Tahoma"/>
            <family val="2"/>
          </rPr>
          <t>Kohonen Aki:</t>
        </r>
        <r>
          <rPr>
            <sz val="9"/>
            <color indexed="81"/>
            <rFont val="Tahoma"/>
            <family val="2"/>
          </rPr>
          <t xml:space="preserve">
Poistotaso kasvaa, mutta kuinka paljon? Tämä nyt arviona</t>
        </r>
      </text>
    </comment>
    <comment ref="J45" authorId="0" shapeId="0" xr:uid="{01E387AE-8882-471F-93C0-01390A70FCAC}">
      <text>
        <r>
          <rPr>
            <b/>
            <sz val="9"/>
            <color indexed="81"/>
            <rFont val="Tahoma"/>
            <family val="2"/>
          </rPr>
          <t>Kohonen Aki:</t>
        </r>
        <r>
          <rPr>
            <sz val="9"/>
            <color indexed="81"/>
            <rFont val="Tahoma"/>
            <family val="2"/>
          </rPr>
          <t xml:space="preserve">
Näitä ei pahemmin taida olla tulevina vuosina (arvio)</t>
        </r>
      </text>
    </comment>
    <comment ref="L45" authorId="0" shapeId="0" xr:uid="{93015824-DF97-4F7F-8C6C-94F1CEA749FB}">
      <text>
        <r>
          <rPr>
            <b/>
            <sz val="9"/>
            <color indexed="81"/>
            <rFont val="Tahoma"/>
            <family val="2"/>
          </rPr>
          <t>Kohonen Aki:</t>
        </r>
        <r>
          <rPr>
            <sz val="9"/>
            <color indexed="81"/>
            <rFont val="Tahoma"/>
            <family val="2"/>
          </rPr>
          <t xml:space="preserve">
Näitä ei pahemmin taida olla tulevina vuosina (arvio)</t>
        </r>
      </text>
    </comment>
    <comment ref="M45" authorId="0" shapeId="0" xr:uid="{AE559A32-707B-4A8A-B6A7-8B9D15D718CB}">
      <text>
        <r>
          <rPr>
            <b/>
            <sz val="9"/>
            <color indexed="81"/>
            <rFont val="Tahoma"/>
            <family val="2"/>
          </rPr>
          <t>Kohonen Aki:</t>
        </r>
        <r>
          <rPr>
            <sz val="9"/>
            <color indexed="81"/>
            <rFont val="Tahoma"/>
            <family val="2"/>
          </rPr>
          <t xml:space="preserve">
Näitä ei pahemmin taida olla tulevina vuosina (arvio)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Kohonen Aki</author>
  </authors>
  <commentList>
    <comment ref="H8" authorId="0" shapeId="0" xr:uid="{CF8AEC28-5F5C-4A56-93DF-4B1B3C5A7BC4}">
      <text>
        <r>
          <rPr>
            <b/>
            <sz val="9"/>
            <color indexed="81"/>
            <rFont val="Tahoma"/>
            <family val="2"/>
          </rPr>
          <t>Kohonen Aki:</t>
        </r>
        <r>
          <rPr>
            <sz val="9"/>
            <color indexed="81"/>
            <rFont val="Tahoma"/>
            <family val="2"/>
          </rPr>
          <t xml:space="preserve">
Huomioitu puuttuvat:
- Sisäiset laskutukset (30159 = ateriat, siivoukset &amp; kuljetukset) n. 97 500 €/kk. Kesäkuu jäänyt laskuttamatta.
- Helena Urvanta/Lempäälän Vesi (5.8.2022): Kaudelle 07/2022 toteutunut n. 94 t€ on ajalta 1.1.-30.6.2022. Loppuvuodelle on toteutumassa vielä arviolta n. 78 t€, jolloin vuoden 2022 arvioitu toteuma on n. 172 t€. </t>
        </r>
      </text>
    </comment>
    <comment ref="H9" authorId="0" shapeId="0" xr:uid="{55480C4B-A5A9-4E57-8A92-B40C25E604A3}">
      <text>
        <r>
          <rPr>
            <b/>
            <sz val="9"/>
            <color indexed="81"/>
            <rFont val="Tahoma"/>
            <family val="2"/>
          </rPr>
          <t>Kohonen Aki:</t>
        </r>
        <r>
          <rPr>
            <sz val="9"/>
            <color indexed="81"/>
            <rFont val="Tahoma"/>
            <family val="2"/>
          </rPr>
          <t xml:space="preserve">
Huomioitu:
- Hoitopäivämaksut (3257) lask. ylitys n. 44 t€
- Rak.valvonta- ja tark.maksut (3285)  lask. ylitys n. 100 t€
Jatkuuko näin? Huomioidaan TP-ennuste hieman alaspäin</t>
        </r>
      </text>
    </comment>
    <comment ref="H10" authorId="0" shapeId="0" xr:uid="{1BD464CF-8C79-4503-A23E-BFB922711A71}">
      <text>
        <r>
          <rPr>
            <b/>
            <sz val="9"/>
            <color indexed="81"/>
            <rFont val="Tahoma"/>
            <family val="2"/>
          </rPr>
          <t>Kohonen Aki:</t>
        </r>
        <r>
          <rPr>
            <sz val="9"/>
            <color indexed="81"/>
            <rFont val="Tahoma"/>
            <family val="2"/>
          </rPr>
          <t xml:space="preserve">
Huomioitu puuttuvat:
- Kuntouttava työtoiminta (3327)  n. 50 t€/v
- EU-tuki kunnan kehittämisproj. (3315)  n. 50 t€/v
- Korvaus työterveysh. (3326)  n. 45 t€/v</t>
        </r>
      </text>
    </comment>
    <comment ref="H11" authorId="0" shapeId="0" xr:uid="{2EADCBF8-CF7F-4AA5-851B-4C36BF282AEE}">
      <text>
        <r>
          <rPr>
            <b/>
            <sz val="9"/>
            <color indexed="81"/>
            <rFont val="Tahoma"/>
            <family val="2"/>
          </rPr>
          <t>Kohonen Aki:</t>
        </r>
        <r>
          <rPr>
            <sz val="9"/>
            <color indexed="81"/>
            <rFont val="Tahoma"/>
            <family val="2"/>
          </rPr>
          <t xml:space="preserve">
Huomioitu puuttuvat:
- Muut vuokratuotot (3460)  n. 105 t€/v
* 7510 TEK Vesilaitos n. 52,5 t€ &amp; TEK Viemärilaitos n. 52,5 t€
- Käyttöomaisuuden myyntivoitot (3510)/Timo H. (8.8.2022): Uskon vuoden 2022 asettuvan 300 000 € tasolle. Budjettiin olin ennakoinut, että kerrostalojen myynti toteutuu vuoden 2022 aikana. Näistä odotettu myyntivoitto 148897,15 €, joka ei siis toteudu. Muuttujina on vielä Kaakilanmutka ja Palvelukeskusalueen ennakkomarkkinoinnissa olevat kohteet. 
Haastava nykyisessä markkinatilanteessa arvioida miten tonttien myynti tulee kehittymään. Ainakin 2023 vuoden ennustetta joudun varmasti isosti oikaisemaan, koska myytäviä kohteita ei ole ja kustannusten nousulle en näe laskua 2-3 vuoteen.
lask. toteuma n. 365 t€. Arvioidaan toteutuvan n. 300 t€ eli vähennetään ennusteesta -65 t€.</t>
        </r>
      </text>
    </comment>
    <comment ref="H16" authorId="0" shapeId="0" xr:uid="{80FE9180-839B-407B-AD34-18BECA96F4E6}">
      <text>
        <r>
          <rPr>
            <b/>
            <sz val="9"/>
            <color indexed="81"/>
            <rFont val="Tahoma"/>
            <family val="2"/>
          </rPr>
          <t>Kohonen Aki:</t>
        </r>
        <r>
          <rPr>
            <sz val="9"/>
            <color indexed="81"/>
            <rFont val="Tahoma"/>
            <family val="2"/>
          </rPr>
          <t xml:space="preserve">
Sisältää palkkaneuvottelun vaikutukset (v. 2022 kesk.määrin 1,76 %), koska TA-kirjaan on jo valmiiksi sisällytetty 2,5 %:n Tes-korotukset 03/2022 alkaen</t>
        </r>
      </text>
    </comment>
    <comment ref="H17" authorId="0" shapeId="0" xr:uid="{3B3973B9-3CDF-41FE-9271-6FE921CB90F2}">
      <text>
        <r>
          <rPr>
            <b/>
            <sz val="9"/>
            <color indexed="81"/>
            <rFont val="Tahoma"/>
            <family val="2"/>
          </rPr>
          <t>Kohonen Aki:</t>
        </r>
        <r>
          <rPr>
            <sz val="9"/>
            <color indexed="81"/>
            <rFont val="Tahoma"/>
            <family val="2"/>
          </rPr>
          <t xml:space="preserve">
Sisältää palkkaneuvottelun vaikutukset (v. 2022 kesk.määrin 1,76 %), koska TA-kirjaan on jo valmiiksi sisällytetty 2,5 %:n Tes-korotukset 03/2022 alkaen</t>
        </r>
      </text>
    </comment>
    <comment ref="H18" authorId="0" shapeId="0" xr:uid="{EF834179-AEF3-4D15-B154-D74A07AD47A7}">
      <text>
        <r>
          <rPr>
            <b/>
            <sz val="9"/>
            <color indexed="81"/>
            <rFont val="Tahoma"/>
            <family val="2"/>
          </rPr>
          <t>Kohonen Aki:</t>
        </r>
        <r>
          <rPr>
            <sz val="9"/>
            <color indexed="81"/>
            <rFont val="Tahoma"/>
            <family val="2"/>
          </rPr>
          <t xml:space="preserve">
Sisältää palkkaneuvottelun vaikutukset (v. 2022 kesk.määrin 1,76 %), koska TA-kirjaan on jo valmiiksi sisällytetty 2,5 %:n Tes-korotukset 03/2022 alkaen</t>
        </r>
      </text>
    </comment>
    <comment ref="H19" authorId="0" shapeId="0" xr:uid="{8B244B1D-61D7-4D8D-89E1-1700C24574AE}">
      <text>
        <r>
          <rPr>
            <b/>
            <sz val="9"/>
            <color indexed="81"/>
            <rFont val="Tahoma"/>
            <family val="2"/>
          </rPr>
          <t>Kohonen Aki:</t>
        </r>
        <r>
          <rPr>
            <sz val="9"/>
            <color indexed="81"/>
            <rFont val="Tahoma"/>
            <family val="2"/>
          </rPr>
          <t xml:space="preserve">
Huomioitu puuttuvat:
- Sisäiset laskutukset (44109 ateriat, 43809 siivoukset &amp; 44209 kuljetukset) n. 97 500 €/kk. Kesäkuu jäänyt laskuttamatta.
- sotepalveluita (yta-alue) ei ole vielä huomioitu. TP-ennustetta pyydetty 3.8.</t>
        </r>
      </text>
    </comment>
    <comment ref="H20" authorId="0" shapeId="0" xr:uid="{B2561B53-C521-4BF6-B0EB-B359A88B63EF}">
      <text>
        <r>
          <rPr>
            <b/>
            <sz val="9"/>
            <color indexed="81"/>
            <rFont val="Tahoma"/>
            <family val="2"/>
          </rPr>
          <t>Kohonen Aki:</t>
        </r>
        <r>
          <rPr>
            <sz val="9"/>
            <color indexed="81"/>
            <rFont val="Tahoma"/>
            <family val="2"/>
          </rPr>
          <t xml:space="preserve">
Huomioitu:
- Lask. Ennuste n. 1 231 t€. Ennustetaan kuitenkin TA-mukaan, jos laskuja puuttuu lomien vuoksi</t>
        </r>
      </text>
    </comment>
    <comment ref="H21" authorId="0" shapeId="0" xr:uid="{613F6219-57F2-4AA0-A5F1-30E3F1D9B53A}">
      <text>
        <r>
          <rPr>
            <b/>
            <sz val="9"/>
            <color indexed="81"/>
            <rFont val="Tahoma"/>
            <family val="2"/>
          </rPr>
          <t>Kohonen Aki:</t>
        </r>
        <r>
          <rPr>
            <sz val="9"/>
            <color indexed="81"/>
            <rFont val="Tahoma"/>
            <family val="2"/>
          </rPr>
          <t xml:space="preserve">
Huomioitu puuttuvat:
- Yksityistieavustukset peruspar. (4742) n. 12 000 €/kk
- Yksityistieavustukset kunnossapito (4743) n. 77 500 €/v</t>
        </r>
      </text>
    </comment>
    <comment ref="H28" authorId="0" shapeId="0" xr:uid="{94AA0519-0271-463B-BC94-EDB3F917229E}">
      <text>
        <r>
          <rPr>
            <b/>
            <sz val="9"/>
            <color indexed="81"/>
            <rFont val="Tahoma"/>
            <family val="2"/>
          </rPr>
          <t>Kohonen Aki:</t>
        </r>
        <r>
          <rPr>
            <sz val="9"/>
            <color indexed="81"/>
            <rFont val="Tahoma"/>
            <family val="2"/>
          </rPr>
          <t xml:space="preserve">
Veroennustekehikko 08/2022 sis. Kunnan omalla väkilukuennusteella
</t>
        </r>
      </text>
    </comment>
    <comment ref="H29" authorId="0" shapeId="0" xr:uid="{F32700FB-75E0-4D0A-B114-4697A03F67AD}">
      <text>
        <r>
          <rPr>
            <b/>
            <sz val="9"/>
            <color indexed="81"/>
            <rFont val="Tahoma"/>
            <family val="2"/>
          </rPr>
          <t>Kohonen Aki:</t>
        </r>
        <r>
          <rPr>
            <sz val="9"/>
            <color indexed="81"/>
            <rFont val="Tahoma"/>
            <family val="2"/>
          </rPr>
          <t xml:space="preserve">
VM 8.7.2022: Valtiovarainministeriö on tarkentanut vuoden 2022 kuntien peruspalveluiden valtionosuutta ja verotulomenetysten korvauksia.</t>
        </r>
      </text>
    </comment>
    <comment ref="H32" authorId="0" shapeId="0" xr:uid="{4BD31220-9B27-4364-958C-4502202B265C}">
      <text>
        <r>
          <rPr>
            <b/>
            <sz val="9"/>
            <color indexed="81"/>
            <rFont val="Tahoma"/>
            <family val="2"/>
          </rPr>
          <t>Kohonen Aki:</t>
        </r>
        <r>
          <rPr>
            <sz val="9"/>
            <color indexed="81"/>
            <rFont val="Tahoma"/>
            <family val="2"/>
          </rPr>
          <t xml:space="preserve">
Huomioitu puuttuvat:
- Perusp.korot ky:lta (6140) n. 26 t€/v
- Koronvaihtosop. korkotuotot (6169) n. 18,5 t€/v eli lisäystä 06/2022 tilanteeseen n. 5,5 t€ (Kuran lainaraportilta katsottu)</t>
        </r>
      </text>
    </comment>
    <comment ref="H33" authorId="0" shapeId="0" xr:uid="{1297EA44-83EB-4DEC-BCC8-E6D2C59004CD}">
      <text>
        <r>
          <rPr>
            <b/>
            <sz val="9"/>
            <color indexed="81"/>
            <rFont val="Tahoma"/>
            <family val="2"/>
          </rPr>
          <t>Kohonen Aki:</t>
        </r>
        <r>
          <rPr>
            <sz val="9"/>
            <color indexed="81"/>
            <rFont val="Tahoma"/>
            <family val="2"/>
          </rPr>
          <t xml:space="preserve">
Huomioitu puuttuvat:
- Korkokulut lainoista (6210) n. 43 t€/v eli lisäystä 06/2022 tilanteeseen n. 26 t€ (Kuran lainaraportilta katsottu). Kesäkuussa on myös purettu TP2021 jaksotus.</t>
        </r>
      </text>
    </comment>
    <comment ref="H34" authorId="0" shapeId="0" xr:uid="{A7485849-4211-4C92-A6E1-4A781F5871F0}">
      <text>
        <r>
          <rPr>
            <b/>
            <sz val="9"/>
            <color indexed="81"/>
            <rFont val="Tahoma"/>
            <family val="2"/>
          </rPr>
          <t>Kohonen Aki:</t>
        </r>
        <r>
          <rPr>
            <sz val="9"/>
            <color indexed="81"/>
            <rFont val="Tahoma"/>
            <family val="2"/>
          </rPr>
          <t xml:space="preserve">
Huomioitu puuttuvat:
- Koronvaihtosop. korkokulut (6379) n. 97 t€/v eli lisäystä 06/2022 tilanteeseen n. 45 t€ (Kuran lainaraportilta katsottu).
</t>
        </r>
      </text>
    </comment>
    <comment ref="R34" authorId="0" shapeId="0" xr:uid="{31C0B1DA-3C53-44CE-85C3-CD706E82CA42}">
      <text>
        <r>
          <rPr>
            <b/>
            <sz val="9"/>
            <color indexed="81"/>
            <rFont val="Tahoma"/>
            <family val="2"/>
          </rPr>
          <t>Kohonen Aki:</t>
        </r>
        <r>
          <rPr>
            <sz val="9"/>
            <color indexed="81"/>
            <rFont val="Tahoma"/>
            <family val="2"/>
          </rPr>
          <t xml:space="preserve">
Tänne lisätty Intimen raporteilta puuttuvat vaikutukset:
- Johdannaissopimuksen (koronvaihtosopimus) vaikutuksesta kirjattu negatiivisen markkina-arvon kirjaus = tili 6379 Koronvaihtosopimuksen korkokulut --&gt; 792 265,69 €
</t>
        </r>
      </text>
    </comment>
    <comment ref="H41" authorId="0" shapeId="0" xr:uid="{CDF9905B-1E18-4AA5-A6CF-40F846854EF5}">
      <text>
        <r>
          <rPr>
            <b/>
            <sz val="9"/>
            <color indexed="81"/>
            <rFont val="Tahoma"/>
            <family val="2"/>
          </rPr>
          <t>Kohonen Aki:</t>
        </r>
        <r>
          <rPr>
            <sz val="9"/>
            <color indexed="81"/>
            <rFont val="Tahoma"/>
            <family val="2"/>
          </rPr>
          <t xml:space="preserve">
Poistotaulukko näyttää huomattavasti suurempaa toteumaa. Siksi käytetään todellisten toteumien ennustetta, jonka mukaan v. 2022 toteuma on n. 1,36 m€</t>
        </r>
      </text>
    </comment>
    <comment ref="L41" authorId="0" shapeId="0" xr:uid="{CEC74A88-6D64-4AB2-8291-FBE8C1D37C2B}">
      <text>
        <r>
          <rPr>
            <b/>
            <sz val="9"/>
            <color indexed="81"/>
            <rFont val="Tahoma"/>
            <family val="2"/>
          </rPr>
          <t>Kohonen Aki:</t>
        </r>
        <r>
          <rPr>
            <sz val="9"/>
            <color indexed="81"/>
            <rFont val="Tahoma"/>
            <family val="2"/>
          </rPr>
          <t xml:space="preserve">
Poistotaso kasvaa, mutta kuinka paljon? Tämä nyt arviona</t>
        </r>
      </text>
    </comment>
    <comment ref="M41" authorId="0" shapeId="0" xr:uid="{0E142F3A-C9F5-42B8-B5E0-3B89E5708FCD}">
      <text>
        <r>
          <rPr>
            <b/>
            <sz val="9"/>
            <color indexed="81"/>
            <rFont val="Tahoma"/>
            <family val="2"/>
          </rPr>
          <t>Kohonen Aki:</t>
        </r>
        <r>
          <rPr>
            <sz val="9"/>
            <color indexed="81"/>
            <rFont val="Tahoma"/>
            <family val="2"/>
          </rPr>
          <t xml:space="preserve">
Poistotaso kasvaa, mutta kuinka paljon? Tämä nyt arviona</t>
        </r>
      </text>
    </comment>
    <comment ref="J45" authorId="0" shapeId="0" xr:uid="{90307097-D302-40A0-B328-DAF93B9C99C0}">
      <text>
        <r>
          <rPr>
            <b/>
            <sz val="9"/>
            <color indexed="81"/>
            <rFont val="Tahoma"/>
            <family val="2"/>
          </rPr>
          <t>Kohonen Aki:</t>
        </r>
        <r>
          <rPr>
            <sz val="9"/>
            <color indexed="81"/>
            <rFont val="Tahoma"/>
            <family val="2"/>
          </rPr>
          <t xml:space="preserve">
Näitä ei pahemmin taida olla tulevina vuosina (arvio)</t>
        </r>
      </text>
    </comment>
    <comment ref="L45" authorId="0" shapeId="0" xr:uid="{26CDB295-804B-4E1F-A87B-5F2EDEC96F2A}">
      <text>
        <r>
          <rPr>
            <b/>
            <sz val="9"/>
            <color indexed="81"/>
            <rFont val="Tahoma"/>
            <family val="2"/>
          </rPr>
          <t>Kohonen Aki:</t>
        </r>
        <r>
          <rPr>
            <sz val="9"/>
            <color indexed="81"/>
            <rFont val="Tahoma"/>
            <family val="2"/>
          </rPr>
          <t xml:space="preserve">
Näitä ei pahemmin taida olla tulevina vuosina (arvio)</t>
        </r>
      </text>
    </comment>
    <comment ref="M45" authorId="0" shapeId="0" xr:uid="{48B718EF-9E92-4560-94B6-7F42C4BB9C0D}">
      <text>
        <r>
          <rPr>
            <b/>
            <sz val="9"/>
            <color indexed="81"/>
            <rFont val="Tahoma"/>
            <family val="2"/>
          </rPr>
          <t>Kohonen Aki:</t>
        </r>
        <r>
          <rPr>
            <sz val="9"/>
            <color indexed="81"/>
            <rFont val="Tahoma"/>
            <family val="2"/>
          </rPr>
          <t xml:space="preserve">
Näitä ei pahemmin taida olla tulevina vuosina (arvio)</t>
        </r>
      </text>
    </comment>
  </commentList>
</comments>
</file>

<file path=xl/sharedStrings.xml><?xml version="1.0" encoding="utf-8"?>
<sst xmlns="http://schemas.openxmlformats.org/spreadsheetml/2006/main" count="278" uniqueCount="77">
  <si>
    <t>Vesilahden kunta</t>
  </si>
  <si>
    <t>TP 2021</t>
  </si>
  <si>
    <t>TOIMINTATUOTOT</t>
  </si>
  <si>
    <t>Myyntituotot</t>
  </si>
  <si>
    <t>Maksutuotot</t>
  </si>
  <si>
    <t>Tuet ja avustukset</t>
  </si>
  <si>
    <t>Muut toimintatuotot</t>
  </si>
  <si>
    <t>TOIMINTATUOTOT YHTEENSÄ</t>
  </si>
  <si>
    <t>TOIMINTAKULUT</t>
  </si>
  <si>
    <t>Henkilöstökulut</t>
  </si>
  <si>
    <t>Palkat ja palkkiot</t>
  </si>
  <si>
    <t>Eläkekulut</t>
  </si>
  <si>
    <t>Muut henkilösivukulut</t>
  </si>
  <si>
    <t>Palvelujen ostot</t>
  </si>
  <si>
    <t>Aineet, tarvikkeet ja tavarat</t>
  </si>
  <si>
    <t>Avustukset</t>
  </si>
  <si>
    <t>Muut toimintakulut</t>
  </si>
  <si>
    <t>TOIMINTAKULUT YHTEENSÄ</t>
  </si>
  <si>
    <t>TOIMINTAKATE</t>
  </si>
  <si>
    <t>Verotulot</t>
  </si>
  <si>
    <t>Valtionosuudet</t>
  </si>
  <si>
    <t>Rahoitustuotot ja -kulut</t>
  </si>
  <si>
    <t>Korkotuotot</t>
  </si>
  <si>
    <t>Muut rahoitustuotot</t>
  </si>
  <si>
    <t>Korkokulut</t>
  </si>
  <si>
    <t>Muut rahoituskulut</t>
  </si>
  <si>
    <t>RAHOITUSTUOTOT JA -KULUT YHT.</t>
  </si>
  <si>
    <t>VUOSIKATE</t>
  </si>
  <si>
    <t>Poistot ja arvonalentumiset</t>
  </si>
  <si>
    <t>Suunn.mukaiset poistot</t>
  </si>
  <si>
    <t>Satunnaiset erät</t>
  </si>
  <si>
    <t>TILIKAUDEN TULOS</t>
  </si>
  <si>
    <t>Poistoeron lis.(-)tai väh.(+)</t>
  </si>
  <si>
    <t>TILIKAUDEN YLIJÄÄMÄ (ALIJÄÄMÄ)</t>
  </si>
  <si>
    <t>Budjettiyhteenveto</t>
  </si>
  <si>
    <t xml:space="preserve">INTIME/Talouden Suunnittelu </t>
  </si>
  <si>
    <t>TP 2020</t>
  </si>
  <si>
    <t>TA 2022</t>
  </si>
  <si>
    <t>TPE 2022</t>
  </si>
  <si>
    <t>TA 2023</t>
  </si>
  <si>
    <t>Muutos%</t>
  </si>
  <si>
    <t>SU 2024</t>
  </si>
  <si>
    <t>SU 2025</t>
  </si>
  <si>
    <t>Muutos 2022 - 2023</t>
  </si>
  <si>
    <t>Varausten lis.(-)tai väh.(+)</t>
  </si>
  <si>
    <t>Rahastojen lis.(-) tai väh.(+)</t>
  </si>
  <si>
    <t>Toimintatuotot / toimintakulut %</t>
  </si>
  <si>
    <t>-0,7 prosyks</t>
  </si>
  <si>
    <t>Vuosikate /poistot %</t>
  </si>
  <si>
    <t>-73 prosyks.</t>
  </si>
  <si>
    <t>Vuosikate /asukas</t>
  </si>
  <si>
    <t>Asukasmäärä</t>
  </si>
  <si>
    <t>Tuloslaskelmaerä</t>
  </si>
  <si>
    <t>Sitovat eurot</t>
  </si>
  <si>
    <t>Vuoden 2020 tilinpäätöksen kum. Ylijäämä</t>
  </si>
  <si>
    <t>Rahoitustulot ja -menot</t>
  </si>
  <si>
    <t>Tilinpäätössiirrot</t>
  </si>
  <si>
    <t>Poikkeama</t>
  </si>
  <si>
    <t>TPE 2022 / TA 2022</t>
  </si>
  <si>
    <t>Toimintatuotot</t>
  </si>
  <si>
    <t>Toimintakulut</t>
  </si>
  <si>
    <t>Toimintakate</t>
  </si>
  <si>
    <t>Vuosikate</t>
  </si>
  <si>
    <t>Tilikauden ylijäämä (alijäämä)</t>
  </si>
  <si>
    <t>Koko kunnan talous</t>
  </si>
  <si>
    <t>Tilikauden tulosennuste</t>
  </si>
  <si>
    <t>Miljoonaa euroa (ulkoinen ja sisäinen)</t>
  </si>
  <si>
    <t>Tuloslaskelma (ulkoinen ja sisäinen)</t>
  </si>
  <si>
    <t>Ennustettu nettomenojen muutos</t>
  </si>
  <si>
    <t>Ennustettu verorahoituksen muutos</t>
  </si>
  <si>
    <t>M€</t>
  </si>
  <si>
    <t xml:space="preserve"> 06/2022</t>
  </si>
  <si>
    <t>Tot 6/2022</t>
  </si>
  <si>
    <t>Muutos (TPE2022 / TP2021)</t>
  </si>
  <si>
    <t>Poikkeama
(Tot 6/TA2022)</t>
  </si>
  <si>
    <t>TPE2022 /
TA2022</t>
  </si>
  <si>
    <t>pvm. 31.8.2022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</si>
</sst>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
    <numFmt numFmtId="166" formatCode="#,##0;\-#,##0;#,##0;@"/>
    <numFmt numFmtId="167" formatCode="0.0"/>
    <numFmt numFmtId="168" formatCode="#,##0.000000"/>
  </numFmts>
  <fonts count="20" x14ac:knownFonts="1">
    <font>
      <sz val="11"/>
      <color indexed="8"/>
      <name val="Calibri"/>
      <family val="2"/>
      <scheme val="minor"/>
    </font>
    <font>
      <sz val="11"/>
      <color theme="1"/>
      <name val="Calibri"/>
      <family val="2"/>
      <scheme val="minor"/>
    </font>
    <font>
      <sz val="11"/>
      <color indexed="8"/>
      <name val="Calibri"/>
      <family val="2"/>
      <scheme val="minor"/>
    </font>
    <font>
      <sz val="11"/>
      <color rgb="FFFF0000"/>
      <name val="Calibri"/>
      <family val="2"/>
      <scheme val="minor"/>
    </font>
    <font>
      <sz val="11"/>
      <color theme="0"/>
      <name val="Calibri"/>
      <family val="2"/>
      <scheme val="minor"/>
    </font>
    <font>
      <b/>
      <sz val="11"/>
      <color rgb="FFFF0000"/>
      <name val="Calibri"/>
      <family val="2"/>
      <scheme val="minor"/>
    </font>
    <font>
      <b/>
      <sz val="11"/>
      <color indexed="8"/>
      <name val="Calibri"/>
      <family val="2"/>
      <scheme val="minor"/>
    </font>
    <font>
      <sz val="11"/>
      <name val="Calibri"/>
      <family val="2"/>
      <scheme val="minor"/>
    </font>
    <font>
      <b/>
      <sz val="11"/>
      <name val="Calibri"/>
      <family val="2"/>
      <scheme val="minor"/>
    </font>
    <font>
      <b/>
      <sz val="8"/>
      <name val="Calibri"/>
      <family val="2"/>
    </font>
    <font>
      <b/>
      <sz val="11"/>
      <name val="Calibri"/>
      <family val="2"/>
    </font>
    <font>
      <b/>
      <sz val="9"/>
      <color indexed="81"/>
      <name val="Tahoma"/>
      <family val="2"/>
    </font>
    <font>
      <sz val="9"/>
      <color indexed="81"/>
      <name val="Tahoma"/>
      <family val="2"/>
    </font>
    <font>
      <sz val="10"/>
      <name val="Arial"/>
      <family val="2"/>
    </font>
    <font>
      <sz val="10"/>
      <color theme="1"/>
      <name val="Arial"/>
      <family val="2"/>
    </font>
    <font>
      <b/>
      <sz val="11"/>
      <color rgb="FFFF0000"/>
      <name val="Calibri"/>
      <family val="2"/>
    </font>
    <font>
      <sz val="11"/>
      <color rgb="FFFF0000"/>
      <name val="Calibri"/>
      <family val="2"/>
    </font>
    <font>
      <sz val="11"/>
      <name val="Calibri"/>
      <family val="2"/>
    </font>
    <font>
      <b/>
      <sz val="11"/>
      <color theme="0"/>
      <name val="Calibri"/>
      <family val="2"/>
    </font>
    <font>
      <b/>
      <sz val="8"/>
      <name val="Arial"/>
      <family val="2"/>
    </font>
  </fonts>
  <fills count="8">
    <fill>
      <patternFill patternType="none"/>
    </fill>
    <fill>
      <patternFill patternType="gray125"/>
    </fill>
    <fill>
      <patternFill patternType="solid">
        <fgColor rgb="FFFFFF00"/>
        <bgColor indexed="64"/>
      </patternFill>
    </fill>
    <fill>
      <patternFill patternType="solid">
        <fgColor theme="4"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rgb="FFFFFFFF"/>
        <bgColor indexed="64"/>
      </patternFill>
    </fill>
    <fill>
      <patternFill patternType="solid">
        <fgColor rgb="FFFFC000"/>
        <bgColor indexed="64"/>
      </patternFill>
    </fill>
  </fills>
  <borders count="9">
    <border>
      <left/>
      <right/>
      <top/>
      <bottom/>
      <diagonal/>
    </border>
    <border>
      <left style="thin">
        <color auto="1"/>
      </left>
      <right style="thin">
        <color auto="1"/>
      </right>
      <top style="thin">
        <color auto="1"/>
      </top>
      <bottom style="thin">
        <color auto="1"/>
      </bottom>
      <diagonal/>
    </border>
    <border>
      <left style="medium">
        <color rgb="FFAEAEAE"/>
      </left>
      <right style="medium">
        <color rgb="FFAEAEAE"/>
      </right>
      <top style="medium">
        <color rgb="FFAEAEAE"/>
      </top>
      <bottom style="medium">
        <color rgb="FFAEAEAE"/>
      </bottom>
      <diagonal/>
    </border>
    <border>
      <left style="thin">
        <color auto="1"/>
      </left>
      <right style="thin">
        <color auto="1"/>
      </right>
      <top style="thin">
        <color auto="1"/>
      </top>
      <bottom/>
      <diagonal/>
    </border>
    <border>
      <left style="medium">
        <color rgb="FFAEAEAE"/>
      </left>
      <right style="medium">
        <color rgb="FFAEAEAE"/>
      </right>
      <top style="medium">
        <color rgb="FFAEAEAE"/>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s>
  <cellStyleXfs count="7">
    <xf numFmtId="0" fontId="0" fillId="0" borderId="0"/>
    <xf numFmtId="9" fontId="2" fillId="0" borderId="0" applyFont="0" applyFill="0" applyBorder="0" applyAlignment="0" applyProtection="0"/>
    <xf numFmtId="0" fontId="2" fillId="0" borderId="0"/>
    <xf numFmtId="9" fontId="1" fillId="0" borderId="0" applyFont="0" applyFill="0" applyBorder="0" applyAlignment="0" applyProtection="0"/>
    <xf numFmtId="9" fontId="2" fillId="0" borderId="0" applyFont="0" applyFill="0" applyBorder="0" applyAlignment="0" applyProtection="0"/>
    <xf numFmtId="0" fontId="13" fillId="0" borderId="0"/>
    <xf numFmtId="0" fontId="14" fillId="0" borderId="0"/>
  </cellStyleXfs>
  <cellXfs count="159">
    <xf numFmtId="0" fontId="0" fillId="0" borderId="0" xfId="0"/>
    <xf numFmtId="0" fontId="2" fillId="0" borderId="0" xfId="2"/>
    <xf numFmtId="0" fontId="2" fillId="0" borderId="0" xfId="2" applyFill="1"/>
    <xf numFmtId="0" fontId="6" fillId="0" borderId="0" xfId="2" applyFont="1"/>
    <xf numFmtId="0" fontId="2" fillId="4" borderId="0" xfId="2" applyFont="1" applyFill="1" applyBorder="1"/>
    <xf numFmtId="0" fontId="3" fillId="4" borderId="0" xfId="2" applyFont="1" applyFill="1" applyBorder="1"/>
    <xf numFmtId="0" fontId="6" fillId="4" borderId="0" xfId="2" applyFont="1" applyFill="1" applyBorder="1"/>
    <xf numFmtId="49" fontId="10" fillId="4" borderId="0" xfId="2" applyNumberFormat="1" applyFont="1" applyFill="1" applyBorder="1" applyAlignment="1">
      <alignment horizontal="left"/>
    </xf>
    <xf numFmtId="0" fontId="5" fillId="4" borderId="0" xfId="2" applyFont="1" applyFill="1" applyBorder="1"/>
    <xf numFmtId="0" fontId="2" fillId="4" borderId="0" xfId="2" applyFill="1" applyBorder="1"/>
    <xf numFmtId="0" fontId="9" fillId="4" borderId="0" xfId="2" applyFont="1" applyFill="1" applyBorder="1"/>
    <xf numFmtId="0" fontId="9" fillId="4" borderId="0" xfId="2" applyFont="1" applyFill="1" applyBorder="1" applyAlignment="1">
      <alignment horizontal="right"/>
    </xf>
    <xf numFmtId="165" fontId="3" fillId="4" borderId="0" xfId="4" applyNumberFormat="1" applyFont="1" applyFill="1" applyBorder="1"/>
    <xf numFmtId="3" fontId="3" fillId="4" borderId="0" xfId="2" applyNumberFormat="1" applyFont="1" applyFill="1" applyBorder="1"/>
    <xf numFmtId="165" fontId="2" fillId="4" borderId="0" xfId="1" applyNumberFormat="1" applyFill="1" applyBorder="1"/>
    <xf numFmtId="167" fontId="2" fillId="4" borderId="0" xfId="2" applyNumberFormat="1" applyFill="1" applyBorder="1"/>
    <xf numFmtId="49" fontId="15" fillId="4" borderId="0" xfId="2" applyNumberFormat="1" applyFont="1" applyFill="1" applyBorder="1" applyAlignment="1">
      <alignment horizontal="left"/>
    </xf>
    <xf numFmtId="3" fontId="15" fillId="4" borderId="0" xfId="2" applyNumberFormat="1" applyFont="1" applyFill="1" applyBorder="1" applyAlignment="1">
      <alignment horizontal="right"/>
    </xf>
    <xf numFmtId="0" fontId="3" fillId="4" borderId="0" xfId="2" applyFont="1" applyFill="1" applyBorder="1" applyAlignment="1">
      <alignment horizontal="center"/>
    </xf>
    <xf numFmtId="167" fontId="3" fillId="4" borderId="0" xfId="2" applyNumberFormat="1" applyFont="1" applyFill="1" applyBorder="1"/>
    <xf numFmtId="0" fontId="3" fillId="0" borderId="1" xfId="2" applyFont="1" applyBorder="1"/>
    <xf numFmtId="168" fontId="5" fillId="4" borderId="0" xfId="2" applyNumberFormat="1" applyFont="1" applyFill="1" applyBorder="1"/>
    <xf numFmtId="168" fontId="16" fillId="4" borderId="0" xfId="2" applyNumberFormat="1" applyFont="1" applyFill="1" applyBorder="1" applyAlignment="1">
      <alignment horizontal="right"/>
    </xf>
    <xf numFmtId="168" fontId="16" fillId="4" borderId="0" xfId="3" applyNumberFormat="1" applyFont="1" applyFill="1" applyBorder="1" applyAlignment="1">
      <alignment horizontal="right"/>
    </xf>
    <xf numFmtId="168" fontId="3" fillId="4" borderId="0" xfId="2" applyNumberFormat="1" applyFont="1" applyFill="1" applyBorder="1"/>
    <xf numFmtId="168" fontId="3" fillId="4" borderId="0" xfId="3" applyNumberFormat="1" applyFont="1" applyFill="1" applyBorder="1"/>
    <xf numFmtId="168" fontId="15" fillId="4" borderId="0" xfId="2" applyNumberFormat="1" applyFont="1" applyFill="1" applyBorder="1" applyAlignment="1">
      <alignment horizontal="right"/>
    </xf>
    <xf numFmtId="168" fontId="15" fillId="4" borderId="0" xfId="3" applyNumberFormat="1" applyFont="1" applyFill="1" applyBorder="1" applyAlignment="1">
      <alignment horizontal="right"/>
    </xf>
    <xf numFmtId="168" fontId="5" fillId="4" borderId="0" xfId="3" applyNumberFormat="1" applyFont="1" applyFill="1" applyBorder="1"/>
    <xf numFmtId="49" fontId="17" fillId="4" borderId="0" xfId="2" applyNumberFormat="1" applyFont="1" applyFill="1" applyBorder="1" applyAlignment="1">
      <alignment horizontal="left"/>
    </xf>
    <xf numFmtId="3" fontId="17" fillId="4" borderId="0" xfId="2" applyNumberFormat="1" applyFont="1" applyFill="1" applyBorder="1" applyAlignment="1">
      <alignment horizontal="right"/>
    </xf>
    <xf numFmtId="168" fontId="17" fillId="4" borderId="0" xfId="2" applyNumberFormat="1" applyFont="1" applyFill="1" applyBorder="1" applyAlignment="1">
      <alignment horizontal="right"/>
    </xf>
    <xf numFmtId="3" fontId="10" fillId="4" borderId="0" xfId="2" applyNumberFormat="1" applyFont="1" applyFill="1" applyBorder="1" applyAlignment="1">
      <alignment horizontal="right"/>
    </xf>
    <xf numFmtId="49" fontId="17" fillId="4" borderId="0" xfId="2" applyNumberFormat="1" applyFont="1" applyFill="1" applyBorder="1" applyAlignment="1">
      <alignment horizontal="left" indent="2"/>
    </xf>
    <xf numFmtId="168" fontId="7" fillId="4" borderId="0" xfId="2" applyNumberFormat="1" applyFont="1" applyFill="1" applyBorder="1"/>
    <xf numFmtId="49" fontId="18" fillId="3" borderId="1" xfId="2" applyNumberFormat="1" applyFont="1" applyFill="1" applyBorder="1" applyAlignment="1">
      <alignment horizontal="left"/>
    </xf>
    <xf numFmtId="0" fontId="18" fillId="3" borderId="1" xfId="2" applyFont="1" applyFill="1" applyBorder="1" applyAlignment="1">
      <alignment horizontal="center"/>
    </xf>
    <xf numFmtId="49" fontId="10" fillId="0" borderId="1" xfId="2" applyNumberFormat="1" applyFont="1" applyFill="1" applyBorder="1" applyAlignment="1">
      <alignment horizontal="left"/>
    </xf>
    <xf numFmtId="0" fontId="10" fillId="0" borderId="1" xfId="2" applyFont="1" applyFill="1" applyBorder="1" applyAlignment="1">
      <alignment horizontal="center"/>
    </xf>
    <xf numFmtId="49" fontId="10" fillId="4" borderId="1" xfId="2" applyNumberFormat="1" applyFont="1" applyFill="1" applyBorder="1" applyAlignment="1">
      <alignment horizontal="left"/>
    </xf>
    <xf numFmtId="3" fontId="10" fillId="4" borderId="1" xfId="2" applyNumberFormat="1" applyFont="1" applyFill="1" applyBorder="1" applyAlignment="1">
      <alignment horizontal="right"/>
    </xf>
    <xf numFmtId="49" fontId="17" fillId="4" borderId="1" xfId="2" applyNumberFormat="1" applyFont="1" applyFill="1" applyBorder="1" applyAlignment="1">
      <alignment horizontal="left"/>
    </xf>
    <xf numFmtId="3" fontId="17" fillId="4" borderId="1" xfId="2" applyNumberFormat="1" applyFont="1" applyFill="1" applyBorder="1" applyAlignment="1">
      <alignment horizontal="right"/>
    </xf>
    <xf numFmtId="3" fontId="17" fillId="0" borderId="1" xfId="2" applyNumberFormat="1" applyFont="1" applyFill="1" applyBorder="1" applyAlignment="1">
      <alignment horizontal="right"/>
    </xf>
    <xf numFmtId="3" fontId="10" fillId="0" borderId="1" xfId="2" applyNumberFormat="1" applyFont="1" applyFill="1" applyBorder="1" applyAlignment="1">
      <alignment horizontal="right"/>
    </xf>
    <xf numFmtId="49" fontId="10" fillId="2" borderId="1" xfId="2" applyNumberFormat="1" applyFont="1" applyFill="1" applyBorder="1" applyAlignment="1">
      <alignment horizontal="left"/>
    </xf>
    <xf numFmtId="3" fontId="10" fillId="2" borderId="1" xfId="2" applyNumberFormat="1" applyFont="1" applyFill="1" applyBorder="1" applyAlignment="1">
      <alignment horizontal="right"/>
    </xf>
    <xf numFmtId="3" fontId="7" fillId="0" borderId="1" xfId="2" applyNumberFormat="1" applyFont="1" applyFill="1" applyBorder="1"/>
    <xf numFmtId="3" fontId="8" fillId="2" borderId="1" xfId="2" applyNumberFormat="1" applyFont="1" applyFill="1" applyBorder="1"/>
    <xf numFmtId="3" fontId="8" fillId="0" borderId="1" xfId="2" applyNumberFormat="1" applyFont="1" applyFill="1" applyBorder="1"/>
    <xf numFmtId="0" fontId="7" fillId="0" borderId="1" xfId="2" applyFont="1" applyFill="1" applyBorder="1"/>
    <xf numFmtId="165" fontId="7" fillId="0" borderId="1" xfId="4" applyNumberFormat="1" applyFont="1" applyFill="1" applyBorder="1"/>
    <xf numFmtId="9" fontId="7" fillId="0" borderId="1" xfId="4" applyFont="1" applyFill="1" applyBorder="1"/>
    <xf numFmtId="0" fontId="7" fillId="4" borderId="0" xfId="2" applyFont="1" applyFill="1" applyBorder="1"/>
    <xf numFmtId="165" fontId="7" fillId="4" borderId="0" xfId="4" applyNumberFormat="1" applyFont="1" applyFill="1" applyBorder="1"/>
    <xf numFmtId="9" fontId="7" fillId="4" borderId="0" xfId="4" applyFont="1" applyFill="1" applyBorder="1"/>
    <xf numFmtId="3" fontId="7" fillId="4" borderId="0" xfId="2" applyNumberFormat="1" applyFont="1" applyFill="1" applyBorder="1"/>
    <xf numFmtId="164" fontId="17" fillId="4" borderId="0" xfId="2" applyNumberFormat="1" applyFont="1" applyFill="1" applyBorder="1" applyAlignment="1">
      <alignment horizontal="right"/>
    </xf>
    <xf numFmtId="164" fontId="10" fillId="4" borderId="0" xfId="2" applyNumberFormat="1" applyFont="1" applyFill="1" applyBorder="1" applyAlignment="1">
      <alignment horizontal="right"/>
    </xf>
    <xf numFmtId="164" fontId="7" fillId="4" borderId="0" xfId="2" applyNumberFormat="1" applyFont="1" applyFill="1" applyBorder="1"/>
    <xf numFmtId="164" fontId="8" fillId="4" borderId="0" xfId="2" applyNumberFormat="1" applyFont="1" applyFill="1" applyBorder="1"/>
    <xf numFmtId="9" fontId="17" fillId="0" borderId="1" xfId="1" applyFont="1" applyFill="1" applyBorder="1" applyAlignment="1">
      <alignment horizontal="right"/>
    </xf>
    <xf numFmtId="3" fontId="17" fillId="0" borderId="3" xfId="2" applyNumberFormat="1" applyFont="1" applyFill="1" applyBorder="1" applyAlignment="1">
      <alignment horizontal="right"/>
    </xf>
    <xf numFmtId="3" fontId="17" fillId="4" borderId="3" xfId="2" applyNumberFormat="1" applyFont="1" applyFill="1" applyBorder="1" applyAlignment="1">
      <alignment horizontal="right"/>
    </xf>
    <xf numFmtId="164" fontId="10" fillId="4" borderId="1" xfId="2" applyNumberFormat="1" applyFont="1" applyFill="1" applyBorder="1" applyAlignment="1">
      <alignment horizontal="right"/>
    </xf>
    <xf numFmtId="164" fontId="17" fillId="0" borderId="1" xfId="2" applyNumberFormat="1" applyFont="1" applyFill="1" applyBorder="1" applyAlignment="1">
      <alignment horizontal="right"/>
    </xf>
    <xf numFmtId="164" fontId="17" fillId="4" borderId="1" xfId="2" applyNumberFormat="1" applyFont="1" applyFill="1" applyBorder="1" applyAlignment="1">
      <alignment horizontal="right"/>
    </xf>
    <xf numFmtId="164" fontId="17" fillId="0" borderId="3" xfId="2" applyNumberFormat="1" applyFont="1" applyFill="1" applyBorder="1" applyAlignment="1">
      <alignment horizontal="right"/>
    </xf>
    <xf numFmtId="164" fontId="17" fillId="4" borderId="3" xfId="2" applyNumberFormat="1" applyFont="1" applyFill="1" applyBorder="1" applyAlignment="1">
      <alignment horizontal="right"/>
    </xf>
    <xf numFmtId="164" fontId="10" fillId="5" borderId="1" xfId="2" applyNumberFormat="1" applyFont="1" applyFill="1" applyBorder="1" applyAlignment="1">
      <alignment horizontal="right"/>
    </xf>
    <xf numFmtId="165" fontId="17" fillId="0" borderId="1" xfId="1" applyNumberFormat="1" applyFont="1" applyFill="1" applyBorder="1" applyAlignment="1">
      <alignment horizontal="right"/>
    </xf>
    <xf numFmtId="165" fontId="17" fillId="4" borderId="0" xfId="1" applyNumberFormat="1" applyFont="1" applyFill="1" applyBorder="1" applyAlignment="1">
      <alignment horizontal="right"/>
    </xf>
    <xf numFmtId="9" fontId="17" fillId="4" borderId="0" xfId="1" applyNumberFormat="1" applyFont="1" applyFill="1" applyBorder="1" applyAlignment="1">
      <alignment horizontal="right"/>
    </xf>
    <xf numFmtId="3" fontId="17" fillId="5" borderId="1" xfId="2" applyNumberFormat="1" applyFont="1" applyFill="1" applyBorder="1" applyAlignment="1">
      <alignment horizontal="right"/>
    </xf>
    <xf numFmtId="0" fontId="2" fillId="0" borderId="0" xfId="2" applyBorder="1"/>
    <xf numFmtId="0" fontId="10" fillId="5" borderId="1" xfId="2" applyFont="1" applyFill="1" applyBorder="1" applyAlignment="1">
      <alignment horizontal="center"/>
    </xf>
    <xf numFmtId="3" fontId="10" fillId="5" borderId="1" xfId="2" applyNumberFormat="1" applyFont="1" applyFill="1" applyBorder="1" applyAlignment="1">
      <alignment horizontal="right"/>
    </xf>
    <xf numFmtId="0" fontId="18" fillId="3" borderId="1" xfId="2" applyFont="1" applyFill="1" applyBorder="1" applyAlignment="1">
      <alignment horizontal="center" wrapText="1"/>
    </xf>
    <xf numFmtId="0" fontId="7" fillId="0" borderId="0" xfId="2" applyFont="1" applyFill="1"/>
    <xf numFmtId="0" fontId="10" fillId="0" borderId="0" xfId="2" applyFont="1" applyFill="1" applyBorder="1"/>
    <xf numFmtId="165" fontId="10" fillId="4" borderId="1" xfId="3" applyNumberFormat="1" applyFont="1" applyFill="1" applyBorder="1" applyAlignment="1">
      <alignment horizontal="right"/>
    </xf>
    <xf numFmtId="0" fontId="8" fillId="0" borderId="0" xfId="2" applyFont="1"/>
    <xf numFmtId="3" fontId="7" fillId="0" borderId="0" xfId="2" applyNumberFormat="1" applyFont="1" applyFill="1"/>
    <xf numFmtId="165" fontId="7" fillId="0" borderId="0" xfId="3" applyNumberFormat="1" applyFont="1" applyFill="1"/>
    <xf numFmtId="165" fontId="10" fillId="0" borderId="1" xfId="3" applyNumberFormat="1" applyFont="1" applyFill="1" applyBorder="1" applyAlignment="1">
      <alignment horizontal="right"/>
    </xf>
    <xf numFmtId="164" fontId="10" fillId="0" borderId="1" xfId="2" applyNumberFormat="1" applyFont="1" applyFill="1" applyBorder="1" applyAlignment="1">
      <alignment horizontal="right"/>
    </xf>
    <xf numFmtId="165" fontId="10" fillId="2" borderId="1" xfId="3" applyNumberFormat="1" applyFont="1" applyFill="1" applyBorder="1" applyAlignment="1">
      <alignment horizontal="right"/>
    </xf>
    <xf numFmtId="164" fontId="10" fillId="2" borderId="1" xfId="2" applyNumberFormat="1" applyFont="1" applyFill="1" applyBorder="1" applyAlignment="1">
      <alignment horizontal="right"/>
    </xf>
    <xf numFmtId="49" fontId="7" fillId="0" borderId="1" xfId="4" applyNumberFormat="1" applyFont="1" applyFill="1" applyBorder="1"/>
    <xf numFmtId="1" fontId="7" fillId="0" borderId="1" xfId="4" applyNumberFormat="1" applyFont="1" applyFill="1" applyBorder="1"/>
    <xf numFmtId="3" fontId="7" fillId="0" borderId="1" xfId="4" applyNumberFormat="1" applyFont="1" applyFill="1" applyBorder="1"/>
    <xf numFmtId="164" fontId="10" fillId="4" borderId="7" xfId="2" applyNumberFormat="1" applyFont="1" applyFill="1" applyBorder="1" applyAlignment="1">
      <alignment horizontal="right"/>
    </xf>
    <xf numFmtId="164" fontId="19" fillId="6" borderId="2" xfId="0" applyNumberFormat="1" applyFont="1" applyFill="1" applyBorder="1" applyAlignment="1">
      <alignment horizontal="right" vertical="center" wrapText="1"/>
    </xf>
    <xf numFmtId="164" fontId="17" fillId="4" borderId="7" xfId="2" applyNumberFormat="1" applyFont="1" applyFill="1" applyBorder="1" applyAlignment="1">
      <alignment horizontal="right"/>
    </xf>
    <xf numFmtId="164" fontId="19" fillId="6" borderId="4" xfId="0" applyNumberFormat="1" applyFont="1" applyFill="1" applyBorder="1" applyAlignment="1">
      <alignment horizontal="right" vertical="center" wrapText="1"/>
    </xf>
    <xf numFmtId="164" fontId="17" fillId="4" borderId="8" xfId="2" applyNumberFormat="1" applyFont="1" applyFill="1" applyBorder="1" applyAlignment="1">
      <alignment horizontal="right"/>
    </xf>
    <xf numFmtId="49" fontId="17" fillId="4" borderId="3" xfId="2" applyNumberFormat="1" applyFont="1" applyFill="1" applyBorder="1" applyAlignment="1">
      <alignment horizontal="left"/>
    </xf>
    <xf numFmtId="168" fontId="17" fillId="4" borderId="0" xfId="3" applyNumberFormat="1" applyFont="1" applyFill="1" applyBorder="1" applyAlignment="1">
      <alignment horizontal="right"/>
    </xf>
    <xf numFmtId="168" fontId="7" fillId="4" borderId="0" xfId="3" applyNumberFormat="1" applyFont="1" applyFill="1" applyBorder="1"/>
    <xf numFmtId="167" fontId="7" fillId="4" borderId="0" xfId="2" applyNumberFormat="1" applyFont="1" applyFill="1" applyBorder="1"/>
    <xf numFmtId="0" fontId="2" fillId="4" borderId="0" xfId="2" applyFill="1"/>
    <xf numFmtId="0" fontId="6" fillId="4" borderId="0" xfId="2" applyFont="1" applyFill="1"/>
    <xf numFmtId="0" fontId="9" fillId="4" borderId="0" xfId="2" applyFont="1" applyFill="1"/>
    <xf numFmtId="0" fontId="9" fillId="4" borderId="0" xfId="2" applyFont="1" applyFill="1" applyAlignment="1">
      <alignment horizontal="right"/>
    </xf>
    <xf numFmtId="0" fontId="5" fillId="4" borderId="0" xfId="2" applyFont="1" applyFill="1"/>
    <xf numFmtId="0" fontId="3" fillId="4" borderId="0" xfId="2" applyFont="1" applyFill="1"/>
    <xf numFmtId="3" fontId="3" fillId="4" borderId="0" xfId="2" applyNumberFormat="1" applyFont="1" applyFill="1"/>
    <xf numFmtId="165" fontId="3" fillId="4" borderId="0" xfId="4" applyNumberFormat="1" applyFont="1" applyFill="1"/>
    <xf numFmtId="0" fontId="7" fillId="4" borderId="1" xfId="2" applyFont="1" applyFill="1" applyBorder="1"/>
    <xf numFmtId="165" fontId="10" fillId="4" borderId="0" xfId="3" applyNumberFormat="1" applyFont="1" applyFill="1" applyBorder="1" applyAlignment="1">
      <alignment horizontal="right"/>
    </xf>
    <xf numFmtId="165" fontId="7" fillId="4" borderId="0" xfId="3" applyNumberFormat="1" applyFont="1" applyFill="1" applyBorder="1"/>
    <xf numFmtId="166" fontId="19" fillId="4" borderId="0" xfId="0" applyNumberFormat="1" applyFont="1" applyFill="1" applyBorder="1" applyAlignment="1">
      <alignment horizontal="right" vertical="center" wrapText="1"/>
    </xf>
    <xf numFmtId="0" fontId="4" fillId="0" borderId="1" xfId="2" applyFont="1" applyBorder="1"/>
    <xf numFmtId="0" fontId="10" fillId="0" borderId="1" xfId="2" applyFont="1" applyFill="1" applyBorder="1"/>
    <xf numFmtId="0" fontId="8" fillId="0" borderId="1" xfId="2" applyFont="1" applyBorder="1"/>
    <xf numFmtId="165" fontId="7" fillId="0" borderId="1" xfId="3" applyNumberFormat="1" applyFont="1" applyFill="1" applyBorder="1"/>
    <xf numFmtId="166" fontId="19" fillId="6" borderId="1" xfId="0" applyNumberFormat="1" applyFont="1" applyFill="1" applyBorder="1" applyAlignment="1">
      <alignment horizontal="right" vertical="center" wrapText="1"/>
    </xf>
    <xf numFmtId="0" fontId="7" fillId="2" borderId="1" xfId="2" applyFont="1" applyFill="1" applyBorder="1"/>
    <xf numFmtId="3" fontId="7" fillId="2" borderId="1" xfId="2" applyNumberFormat="1" applyFont="1" applyFill="1" applyBorder="1"/>
    <xf numFmtId="165" fontId="7" fillId="2" borderId="1" xfId="3" applyNumberFormat="1" applyFont="1" applyFill="1" applyBorder="1"/>
    <xf numFmtId="0" fontId="4" fillId="4" borderId="0" xfId="2" applyFont="1" applyFill="1"/>
    <xf numFmtId="3" fontId="7" fillId="4" borderId="1" xfId="2" applyNumberFormat="1" applyFont="1" applyFill="1" applyBorder="1"/>
    <xf numFmtId="3" fontId="8" fillId="4" borderId="1" xfId="2" applyNumberFormat="1" applyFont="1" applyFill="1" applyBorder="1"/>
    <xf numFmtId="0" fontId="4" fillId="4" borderId="0" xfId="2" applyFont="1" applyFill="1" applyAlignment="1">
      <alignment horizontal="center"/>
    </xf>
    <xf numFmtId="0" fontId="4" fillId="4" borderId="0" xfId="2" applyFont="1" applyFill="1" applyBorder="1"/>
    <xf numFmtId="0" fontId="4" fillId="4" borderId="0" xfId="2" applyFont="1" applyFill="1" applyBorder="1" applyAlignment="1">
      <alignment horizontal="center"/>
    </xf>
    <xf numFmtId="165" fontId="7" fillId="4" borderId="1" xfId="3" applyNumberFormat="1" applyFont="1" applyFill="1" applyBorder="1"/>
    <xf numFmtId="166" fontId="19" fillId="4" borderId="1" xfId="0" applyNumberFormat="1" applyFont="1" applyFill="1" applyBorder="1" applyAlignment="1">
      <alignment horizontal="right" vertical="center" wrapText="1"/>
    </xf>
    <xf numFmtId="0" fontId="18" fillId="3" borderId="1" xfId="2" applyFont="1" applyFill="1" applyBorder="1"/>
    <xf numFmtId="0" fontId="2" fillId="0" borderId="1" xfId="2" applyBorder="1"/>
    <xf numFmtId="3" fontId="17" fillId="7" borderId="1" xfId="2" applyNumberFormat="1" applyFont="1" applyFill="1" applyBorder="1" applyAlignment="1">
      <alignment horizontal="right"/>
    </xf>
    <xf numFmtId="0" fontId="8" fillId="4" borderId="0" xfId="2" applyFont="1" applyFill="1"/>
    <xf numFmtId="3" fontId="7" fillId="5" borderId="1" xfId="2" applyNumberFormat="1" applyFont="1" applyFill="1" applyBorder="1"/>
    <xf numFmtId="165" fontId="7" fillId="5" borderId="1" xfId="4" applyNumberFormat="1" applyFont="1" applyFill="1" applyBorder="1"/>
    <xf numFmtId="9" fontId="7" fillId="5" borderId="1" xfId="4" applyFont="1" applyFill="1" applyBorder="1"/>
    <xf numFmtId="164" fontId="17" fillId="5" borderId="0" xfId="2" applyNumberFormat="1" applyFont="1" applyFill="1" applyBorder="1" applyAlignment="1">
      <alignment horizontal="right"/>
    </xf>
    <xf numFmtId="168" fontId="17" fillId="5" borderId="0" xfId="2" applyNumberFormat="1" applyFont="1" applyFill="1" applyBorder="1" applyAlignment="1">
      <alignment horizontal="right"/>
    </xf>
    <xf numFmtId="3" fontId="17" fillId="5" borderId="0" xfId="2" applyNumberFormat="1" applyFont="1" applyFill="1" applyBorder="1" applyAlignment="1">
      <alignment horizontal="right"/>
    </xf>
    <xf numFmtId="164" fontId="10" fillId="5" borderId="0" xfId="2" applyNumberFormat="1" applyFont="1" applyFill="1" applyBorder="1" applyAlignment="1">
      <alignment horizontal="right"/>
    </xf>
    <xf numFmtId="164" fontId="7" fillId="5" borderId="0" xfId="2" applyNumberFormat="1" applyFont="1" applyFill="1" applyBorder="1"/>
    <xf numFmtId="165" fontId="7" fillId="4" borderId="0" xfId="1" applyNumberFormat="1" applyFont="1" applyFill="1" applyBorder="1"/>
    <xf numFmtId="9" fontId="7" fillId="4" borderId="0" xfId="1" applyNumberFormat="1" applyFont="1" applyFill="1" applyBorder="1"/>
    <xf numFmtId="3" fontId="8" fillId="5" borderId="1" xfId="2" applyNumberFormat="1" applyFont="1" applyFill="1" applyBorder="1"/>
    <xf numFmtId="49" fontId="7" fillId="4" borderId="0" xfId="4" applyNumberFormat="1" applyFont="1" applyFill="1" applyBorder="1"/>
    <xf numFmtId="1" fontId="7" fillId="4" borderId="0" xfId="4" applyNumberFormat="1" applyFont="1" applyFill="1" applyBorder="1"/>
    <xf numFmtId="3" fontId="7" fillId="4" borderId="0" xfId="4" applyNumberFormat="1" applyFont="1" applyFill="1" applyBorder="1"/>
    <xf numFmtId="164" fontId="8" fillId="5" borderId="0" xfId="2" applyNumberFormat="1" applyFont="1" applyFill="1" applyBorder="1"/>
    <xf numFmtId="0" fontId="8" fillId="4" borderId="0" xfId="2" applyFont="1" applyFill="1" applyBorder="1"/>
    <xf numFmtId="164" fontId="7" fillId="2" borderId="0" xfId="2" applyNumberFormat="1" applyFont="1" applyFill="1" applyBorder="1"/>
    <xf numFmtId="165" fontId="7" fillId="2" borderId="0" xfId="1" applyNumberFormat="1" applyFont="1" applyFill="1" applyBorder="1"/>
    <xf numFmtId="49" fontId="10" fillId="0" borderId="5" xfId="2" applyNumberFormat="1" applyFont="1" applyFill="1" applyBorder="1" applyAlignment="1">
      <alignment horizontal="left"/>
    </xf>
    <xf numFmtId="0" fontId="10" fillId="0" borderId="5" xfId="2" applyFont="1" applyFill="1" applyBorder="1" applyAlignment="1">
      <alignment horizontal="center"/>
    </xf>
    <xf numFmtId="164" fontId="10" fillId="0" borderId="5" xfId="2" applyNumberFormat="1" applyFont="1" applyFill="1" applyBorder="1" applyAlignment="1">
      <alignment horizontal="center"/>
    </xf>
    <xf numFmtId="164" fontId="10" fillId="5" borderId="5" xfId="2" applyNumberFormat="1" applyFont="1" applyFill="1" applyBorder="1" applyAlignment="1">
      <alignment horizontal="center"/>
    </xf>
    <xf numFmtId="3" fontId="10" fillId="4" borderId="5" xfId="2" applyNumberFormat="1" applyFont="1" applyFill="1" applyBorder="1" applyAlignment="1">
      <alignment horizontal="right"/>
    </xf>
    <xf numFmtId="0" fontId="10" fillId="0" borderId="6" xfId="2" applyFont="1" applyFill="1" applyBorder="1" applyAlignment="1">
      <alignment horizontal="center"/>
    </xf>
    <xf numFmtId="0" fontId="15" fillId="3" borderId="1" xfId="2" applyFont="1" applyFill="1" applyBorder="1" applyAlignment="1">
      <alignment horizontal="center"/>
    </xf>
    <xf numFmtId="0" fontId="15" fillId="3" borderId="1" xfId="2" applyFont="1" applyFill="1" applyBorder="1"/>
    <xf numFmtId="0" fontId="4" fillId="3" borderId="1" xfId="2" applyFont="1" applyFill="1" applyBorder="1"/>
  </cellXfs>
  <cellStyles count="7">
    <cellStyle name="Normaali" xfId="0" builtinId="0"/>
    <cellStyle name="Normaali 2" xfId="2" xr:uid="{66472D32-03F9-44CC-8AFB-69CE02032A05}"/>
    <cellStyle name="Normaali 2 2" xfId="5" xr:uid="{DE81A0CB-4819-4CB4-ABDC-43B6ACA2FF4C}"/>
    <cellStyle name="Normaali 3" xfId="6" xr:uid="{B5231B0A-2CC8-4CB2-B9CC-D4C807D06614}"/>
    <cellStyle name="Prosenttia" xfId="1" builtinId="5"/>
    <cellStyle name="Prosenttia 2" xfId="3" xr:uid="{A92215BB-682B-4C2A-BB6C-195A0612BAF3}"/>
    <cellStyle name="Prosenttia 2 2" xfId="4" xr:uid="{7515948F-83C0-42BC-817E-7E0CA2A339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ohoaki\Downloads\TP2022%20&amp;%20t&#228;rkeimm&#228;t%20seurattavat%20tunnusluvut%202019-2024_28.4.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loslaskelma ulk ja sis"/>
      <sheetName val="Rahoituslaskelma"/>
      <sheetName val="Painelaskelma"/>
      <sheetName val="Painelaskelma ennen tt.paino"/>
      <sheetName val="Vaikutus tt-paino_sken 1"/>
      <sheetName val="Vaikutus tt-paino_sken 2"/>
      <sheetName val="Verotulot"/>
      <sheetName val="Valtionosuudet"/>
      <sheetName val="Seutukunnat TP2021"/>
      <sheetName val="Tutkihallintoa.fi"/>
    </sheetNames>
    <sheetDataSet>
      <sheetData sheetId="0"/>
      <sheetData sheetId="1"/>
      <sheetData sheetId="2"/>
      <sheetData sheetId="3"/>
      <sheetData sheetId="4"/>
      <sheetData sheetId="5"/>
      <sheetData sheetId="6">
        <row r="39">
          <cell r="G39">
            <v>11042933.647458548</v>
          </cell>
          <cell r="H39">
            <v>10963406.442934247</v>
          </cell>
          <cell r="I39">
            <v>11188239.258458849</v>
          </cell>
        </row>
      </sheetData>
      <sheetData sheetId="7"/>
      <sheetData sheetId="8"/>
      <sheetData sheetId="9"/>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8AAD8-E710-48B6-B745-163FE8C4C7A5}">
  <dimension ref="A1:CI203"/>
  <sheetViews>
    <sheetView tabSelected="1" zoomScale="90" zoomScaleNormal="90" workbookViewId="0">
      <selection activeCell="B78" sqref="B78"/>
    </sheetView>
  </sheetViews>
  <sheetFormatPr defaultColWidth="9.140625" defaultRowHeight="15" x14ac:dyDescent="0.25"/>
  <cols>
    <col min="1" max="1" width="3" style="1" customWidth="1"/>
    <col min="2" max="2" width="2.140625" style="1" customWidth="1"/>
    <col min="3" max="3" width="33.140625" style="1" customWidth="1"/>
    <col min="4" max="4" width="13.28515625" style="1" hidden="1" customWidth="1"/>
    <col min="5" max="7" width="12.85546875" style="1" customWidth="1"/>
    <col min="8" max="8" width="15.140625" style="1" customWidth="1"/>
    <col min="9" max="9" width="12.85546875" style="1" customWidth="1"/>
    <col min="10" max="10" width="8.5703125" style="1" hidden="1" customWidth="1"/>
    <col min="11" max="13" width="13.28515625" style="1" hidden="1" customWidth="1"/>
    <col min="14" max="14" width="14.28515625" style="1" hidden="1" customWidth="1"/>
    <col min="15" max="15" width="0" style="1" hidden="1" customWidth="1"/>
    <col min="16" max="16" width="18.5703125" style="1" hidden="1" customWidth="1"/>
    <col min="17" max="17" width="0" style="1" hidden="1" customWidth="1"/>
    <col min="18" max="18" width="10.5703125" style="1" hidden="1" customWidth="1"/>
    <col min="19" max="20" width="12.85546875" style="1" customWidth="1"/>
    <col min="21" max="87" width="9.140625" style="9"/>
    <col min="88" max="16384" width="9.140625" style="1"/>
  </cols>
  <sheetData>
    <row r="1" spans="1:87" s="9" customFormat="1" x14ac:dyDescent="0.25"/>
    <row r="2" spans="1:87" s="9" customFormat="1" x14ac:dyDescent="0.25">
      <c r="C2" s="7" t="s">
        <v>64</v>
      </c>
      <c r="F2" s="10"/>
      <c r="N2" s="11"/>
      <c r="T2" s="10"/>
    </row>
    <row r="3" spans="1:87" s="9" customFormat="1" x14ac:dyDescent="0.25">
      <c r="C3" s="7" t="s">
        <v>71</v>
      </c>
      <c r="F3" s="10"/>
      <c r="I3" s="8"/>
      <c r="J3" s="8"/>
      <c r="K3" s="5"/>
      <c r="T3" s="10"/>
    </row>
    <row r="4" spans="1:87" s="9" customFormat="1" x14ac:dyDescent="0.25">
      <c r="C4" s="7"/>
      <c r="F4" s="10"/>
      <c r="I4" s="8"/>
      <c r="J4" s="8"/>
      <c r="K4" s="5"/>
      <c r="T4" s="10"/>
    </row>
    <row r="5" spans="1:87" ht="42.75" customHeight="1" x14ac:dyDescent="0.25">
      <c r="A5" s="9"/>
      <c r="C5" s="35" t="s">
        <v>66</v>
      </c>
      <c r="D5" s="36" t="s">
        <v>36</v>
      </c>
      <c r="E5" s="36" t="s">
        <v>1</v>
      </c>
      <c r="F5" s="36" t="s">
        <v>37</v>
      </c>
      <c r="G5" s="36" t="s">
        <v>72</v>
      </c>
      <c r="H5" s="77" t="s">
        <v>74</v>
      </c>
      <c r="I5" s="36" t="s">
        <v>38</v>
      </c>
      <c r="J5" s="156"/>
      <c r="K5" s="156" t="s">
        <v>39</v>
      </c>
      <c r="L5" s="156" t="s">
        <v>40</v>
      </c>
      <c r="M5" s="156" t="s">
        <v>41</v>
      </c>
      <c r="N5" s="156" t="s">
        <v>42</v>
      </c>
      <c r="O5" s="20"/>
      <c r="P5" s="157" t="s">
        <v>43</v>
      </c>
      <c r="Q5" s="20"/>
      <c r="R5" s="20"/>
      <c r="S5" s="77" t="s">
        <v>75</v>
      </c>
      <c r="T5" s="77" t="s">
        <v>73</v>
      </c>
    </row>
    <row r="6" spans="1:87" s="2" customFormat="1" ht="15" hidden="1" customHeight="1" x14ac:dyDescent="0.25">
      <c r="C6" s="150"/>
      <c r="D6" s="151"/>
      <c r="E6" s="152"/>
      <c r="F6" s="152"/>
      <c r="G6" s="152"/>
      <c r="H6" s="152"/>
      <c r="I6" s="153"/>
      <c r="J6" s="151"/>
      <c r="K6" s="151"/>
      <c r="L6" s="151"/>
      <c r="M6" s="151"/>
      <c r="N6" s="151"/>
      <c r="O6" s="78"/>
      <c r="P6" s="79"/>
      <c r="Q6" s="78"/>
      <c r="R6" s="78"/>
      <c r="S6" s="154"/>
      <c r="T6" s="155"/>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row>
    <row r="7" spans="1:87" s="3" customFormat="1" ht="15.75" hidden="1" thickBot="1" x14ac:dyDescent="0.3">
      <c r="C7" s="39" t="s">
        <v>2</v>
      </c>
      <c r="D7" s="40"/>
      <c r="E7" s="64"/>
      <c r="F7" s="64"/>
      <c r="G7" s="64"/>
      <c r="H7" s="64"/>
      <c r="I7" s="69"/>
      <c r="J7" s="40"/>
      <c r="K7" s="40"/>
      <c r="L7" s="64"/>
      <c r="M7" s="80"/>
      <c r="N7" s="40"/>
      <c r="O7" s="81"/>
      <c r="P7" s="81"/>
      <c r="Q7" s="81"/>
      <c r="R7" s="81"/>
      <c r="S7" s="64"/>
      <c r="T7" s="91"/>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row>
    <row r="8" spans="1:87" ht="15.75" hidden="1" thickBot="1" x14ac:dyDescent="0.3">
      <c r="C8" s="41" t="s">
        <v>3</v>
      </c>
      <c r="D8" s="42">
        <v>2566252</v>
      </c>
      <c r="E8" s="65">
        <v>2024120.76</v>
      </c>
      <c r="F8" s="66">
        <v>1985881</v>
      </c>
      <c r="G8" s="65">
        <v>903516.78</v>
      </c>
      <c r="H8" s="65">
        <f>G8-F8</f>
        <v>-1082364.22</v>
      </c>
      <c r="I8" s="73">
        <v>2076533.56</v>
      </c>
      <c r="J8" s="43"/>
      <c r="K8" s="43">
        <v>1474152</v>
      </c>
      <c r="L8" s="65">
        <v>6.3</v>
      </c>
      <c r="M8" s="43">
        <f>K8</f>
        <v>1474152</v>
      </c>
      <c r="N8" s="43">
        <f>M8</f>
        <v>1474152</v>
      </c>
      <c r="O8" s="78"/>
      <c r="P8" s="82">
        <f>K8-F8</f>
        <v>-511729</v>
      </c>
      <c r="Q8" s="78"/>
      <c r="R8" s="83">
        <f>P8/F8</f>
        <v>-0.25768361749772517</v>
      </c>
      <c r="S8" s="92">
        <f>I8-F8</f>
        <v>90652.560000000056</v>
      </c>
      <c r="T8" s="93">
        <f>I8-E8</f>
        <v>52412.800000000047</v>
      </c>
    </row>
    <row r="9" spans="1:87" ht="15.75" hidden="1" thickBot="1" x14ac:dyDescent="0.3">
      <c r="C9" s="41" t="s">
        <v>4</v>
      </c>
      <c r="D9" s="42">
        <v>478337</v>
      </c>
      <c r="E9" s="65">
        <v>528507.68999999994</v>
      </c>
      <c r="F9" s="66">
        <v>445164</v>
      </c>
      <c r="G9" s="65">
        <v>299022.96000000002</v>
      </c>
      <c r="H9" s="65">
        <f t="shared" ref="H9:H11" si="0">G9-F9</f>
        <v>-146141.03999999998</v>
      </c>
      <c r="I9" s="73">
        <v>548045.92000000004</v>
      </c>
      <c r="J9" s="43"/>
      <c r="K9" s="43">
        <v>450164</v>
      </c>
      <c r="L9" s="65">
        <v>-11.4</v>
      </c>
      <c r="M9" s="43">
        <f t="shared" ref="M9:M11" si="1">K9</f>
        <v>450164</v>
      </c>
      <c r="N9" s="43">
        <f t="shared" ref="N9:N11" si="2">M9</f>
        <v>450164</v>
      </c>
      <c r="O9" s="78"/>
      <c r="P9" s="82">
        <f>K9-F9</f>
        <v>5000</v>
      </c>
      <c r="Q9" s="78"/>
      <c r="R9" s="83">
        <f t="shared" ref="R9:R47" si="3">P9/F9</f>
        <v>1.1231815690397247E-2</v>
      </c>
      <c r="S9" s="92">
        <f t="shared" ref="S9:S11" si="4">I9-F9</f>
        <v>102881.92000000004</v>
      </c>
      <c r="T9" s="93">
        <f t="shared" ref="T9:T11" si="5">I9-E9</f>
        <v>19538.230000000098</v>
      </c>
    </row>
    <row r="10" spans="1:87" ht="15.75" hidden="1" thickBot="1" x14ac:dyDescent="0.3">
      <c r="C10" s="41" t="s">
        <v>5</v>
      </c>
      <c r="D10" s="42">
        <v>200948</v>
      </c>
      <c r="E10" s="65">
        <v>314599.76</v>
      </c>
      <c r="F10" s="66">
        <v>385469</v>
      </c>
      <c r="G10" s="65">
        <v>139928.66</v>
      </c>
      <c r="H10" s="65">
        <f t="shared" si="0"/>
        <v>-245540.34</v>
      </c>
      <c r="I10" s="73">
        <v>424857.32</v>
      </c>
      <c r="J10" s="43"/>
      <c r="K10" s="43">
        <v>253026</v>
      </c>
      <c r="L10" s="65">
        <v>76</v>
      </c>
      <c r="M10" s="43">
        <f t="shared" si="1"/>
        <v>253026</v>
      </c>
      <c r="N10" s="43">
        <f t="shared" si="2"/>
        <v>253026</v>
      </c>
      <c r="O10" s="78"/>
      <c r="P10" s="82">
        <f t="shared" ref="P10:P47" si="6">K10-F10</f>
        <v>-132443</v>
      </c>
      <c r="Q10" s="78"/>
      <c r="R10" s="83">
        <f t="shared" si="3"/>
        <v>-0.34358923804508273</v>
      </c>
      <c r="S10" s="92">
        <f t="shared" si="4"/>
        <v>39388.320000000007</v>
      </c>
      <c r="T10" s="93">
        <f t="shared" si="5"/>
        <v>110257.56</v>
      </c>
    </row>
    <row r="11" spans="1:87" hidden="1" x14ac:dyDescent="0.25">
      <c r="C11" s="96" t="s">
        <v>6</v>
      </c>
      <c r="D11" s="63">
        <v>2154038</v>
      </c>
      <c r="E11" s="67">
        <v>2483280.87</v>
      </c>
      <c r="F11" s="68">
        <v>2776905</v>
      </c>
      <c r="G11" s="67">
        <v>1283253.29</v>
      </c>
      <c r="H11" s="67">
        <f t="shared" si="0"/>
        <v>-1493651.71</v>
      </c>
      <c r="I11" s="73">
        <v>2606506.58</v>
      </c>
      <c r="J11" s="62"/>
      <c r="K11" s="62">
        <v>2776905</v>
      </c>
      <c r="L11" s="67">
        <v>14</v>
      </c>
      <c r="M11" s="62">
        <f t="shared" si="1"/>
        <v>2776905</v>
      </c>
      <c r="N11" s="62">
        <f t="shared" si="2"/>
        <v>2776905</v>
      </c>
      <c r="O11" s="78"/>
      <c r="P11" s="82">
        <f t="shared" si="6"/>
        <v>0</v>
      </c>
      <c r="Q11" s="78"/>
      <c r="R11" s="83">
        <f t="shared" si="3"/>
        <v>0</v>
      </c>
      <c r="S11" s="94">
        <f t="shared" si="4"/>
        <v>-170398.41999999993</v>
      </c>
      <c r="T11" s="95">
        <f t="shared" si="5"/>
        <v>123225.70999999996</v>
      </c>
    </row>
    <row r="12" spans="1:87" s="4" customFormat="1" x14ac:dyDescent="0.25">
      <c r="C12" s="29" t="s">
        <v>59</v>
      </c>
      <c r="D12" s="30">
        <f>SUM(D8:D11)</f>
        <v>5399575</v>
      </c>
      <c r="E12" s="57">
        <f>SUM(E8:E11)/1000000</f>
        <v>5.3505090800000001</v>
      </c>
      <c r="F12" s="57">
        <f>SUM(F8:F11)/1000000</f>
        <v>5.5934189999999999</v>
      </c>
      <c r="G12" s="57">
        <f>SUM(G8:G11)/1000000</f>
        <v>2.6257216899999998</v>
      </c>
      <c r="H12" s="57">
        <f>SUM(H8:H11)/1000000</f>
        <v>-2.9676973100000001</v>
      </c>
      <c r="I12" s="135">
        <f>SUM(I8:I11)/1000000</f>
        <v>5.6559433800000001</v>
      </c>
      <c r="J12" s="97">
        <f>(I12-E12)/E12</f>
        <v>5.7085091424608873E-2</v>
      </c>
      <c r="K12" s="31">
        <f>SUM(K8:K11)</f>
        <v>4954247</v>
      </c>
      <c r="L12" s="31">
        <v>11.3</v>
      </c>
      <c r="M12" s="31">
        <f>SUM(M8:M11)</f>
        <v>4954247</v>
      </c>
      <c r="N12" s="31">
        <f>SUM(N8:N11)</f>
        <v>4954247</v>
      </c>
      <c r="O12" s="34"/>
      <c r="P12" s="34">
        <f t="shared" si="6"/>
        <v>4954241.4065810004</v>
      </c>
      <c r="Q12" s="34"/>
      <c r="R12" s="98">
        <f t="shared" si="3"/>
        <v>885726.8526782993</v>
      </c>
      <c r="S12" s="57">
        <f>SUM(S8:S11)/1000000</f>
        <v>6.2524380000000185E-2</v>
      </c>
      <c r="T12" s="57">
        <f>SUM(T8:T11)/1000000</f>
        <v>0.3054343000000001</v>
      </c>
    </row>
    <row r="13" spans="1:87" s="4" customFormat="1" hidden="1" x14ac:dyDescent="0.25">
      <c r="C13" s="29"/>
      <c r="D13" s="30"/>
      <c r="E13" s="57"/>
      <c r="F13" s="57"/>
      <c r="G13" s="31"/>
      <c r="H13" s="31"/>
      <c r="I13" s="136"/>
      <c r="J13" s="23"/>
      <c r="K13" s="22"/>
      <c r="L13" s="22"/>
      <c r="M13" s="22"/>
      <c r="N13" s="22"/>
      <c r="O13" s="24"/>
      <c r="P13" s="24"/>
      <c r="Q13" s="24"/>
      <c r="R13" s="25"/>
      <c r="S13" s="31"/>
      <c r="T13" s="31"/>
    </row>
    <row r="14" spans="1:87" s="4" customFormat="1" hidden="1" x14ac:dyDescent="0.25">
      <c r="C14" s="29" t="s">
        <v>8</v>
      </c>
      <c r="D14" s="30"/>
      <c r="E14" s="57"/>
      <c r="F14" s="57"/>
      <c r="G14" s="31"/>
      <c r="H14" s="31"/>
      <c r="I14" s="136"/>
      <c r="J14" s="22"/>
      <c r="K14" s="22"/>
      <c r="L14" s="22"/>
      <c r="M14" s="22"/>
      <c r="N14" s="22"/>
      <c r="O14" s="24"/>
      <c r="P14" s="24">
        <f t="shared" si="6"/>
        <v>0</v>
      </c>
      <c r="Q14" s="24"/>
      <c r="R14" s="25"/>
      <c r="S14" s="31"/>
      <c r="T14" s="31"/>
    </row>
    <row r="15" spans="1:87" s="4" customFormat="1" hidden="1" x14ac:dyDescent="0.25">
      <c r="C15" s="29" t="s">
        <v>9</v>
      </c>
      <c r="D15" s="30"/>
      <c r="E15" s="57"/>
      <c r="F15" s="57"/>
      <c r="G15" s="31"/>
      <c r="H15" s="31"/>
      <c r="I15" s="136"/>
      <c r="J15" s="22"/>
      <c r="K15" s="22"/>
      <c r="L15" s="22"/>
      <c r="M15" s="22"/>
      <c r="N15" s="22"/>
      <c r="O15" s="24"/>
      <c r="P15" s="24">
        <f t="shared" si="6"/>
        <v>0</v>
      </c>
      <c r="Q15" s="24"/>
      <c r="R15" s="25"/>
      <c r="S15" s="31"/>
      <c r="T15" s="31"/>
    </row>
    <row r="16" spans="1:87" s="4" customFormat="1" hidden="1" x14ac:dyDescent="0.25">
      <c r="C16" s="29" t="s">
        <v>10</v>
      </c>
      <c r="D16" s="30">
        <v>-6522894</v>
      </c>
      <c r="E16" s="57">
        <v>-6693744.7000000002</v>
      </c>
      <c r="F16" s="57">
        <v>-7460064</v>
      </c>
      <c r="G16" s="57">
        <v>-3615760.55</v>
      </c>
      <c r="H16" s="57">
        <f t="shared" ref="H16:H22" si="7">G16-F16</f>
        <v>3844303.45</v>
      </c>
      <c r="I16" s="137">
        <v>-6970879.7648933344</v>
      </c>
      <c r="J16" s="22"/>
      <c r="K16" s="22">
        <v>-7361126</v>
      </c>
      <c r="L16" s="22">
        <v>8.9</v>
      </c>
      <c r="M16" s="22">
        <f>K16</f>
        <v>-7361126</v>
      </c>
      <c r="N16" s="22">
        <f t="shared" ref="N16:N22" si="8">M16</f>
        <v>-7361126</v>
      </c>
      <c r="O16" s="24"/>
      <c r="P16" s="24">
        <f t="shared" si="6"/>
        <v>98938</v>
      </c>
      <c r="Q16" s="24"/>
      <c r="R16" s="25">
        <f t="shared" si="3"/>
        <v>-1.3262352709038422E-2</v>
      </c>
      <c r="S16" s="57">
        <f t="shared" ref="S16:S22" si="9">I16-F16</f>
        <v>489184.23510666564</v>
      </c>
      <c r="T16" s="57">
        <f t="shared" ref="T16:T22" si="10">I16-E16</f>
        <v>-277135.06489333417</v>
      </c>
    </row>
    <row r="17" spans="3:21" s="4" customFormat="1" hidden="1" x14ac:dyDescent="0.25">
      <c r="C17" s="29" t="s">
        <v>11</v>
      </c>
      <c r="D17" s="30">
        <v>-1380373</v>
      </c>
      <c r="E17" s="57">
        <v>-1412278.23</v>
      </c>
      <c r="F17" s="57">
        <v>-1532021</v>
      </c>
      <c r="G17" s="57">
        <v>-754100.06</v>
      </c>
      <c r="H17" s="57">
        <f t="shared" si="7"/>
        <v>777920.94</v>
      </c>
      <c r="I17" s="137">
        <v>-1465883.3409653334</v>
      </c>
      <c r="J17" s="22"/>
      <c r="K17" s="22">
        <v>-1514881</v>
      </c>
      <c r="L17" s="22">
        <v>5.8</v>
      </c>
      <c r="M17" s="22">
        <f t="shared" ref="M17:M22" si="11">K17</f>
        <v>-1514881</v>
      </c>
      <c r="N17" s="22">
        <f t="shared" si="8"/>
        <v>-1514881</v>
      </c>
      <c r="O17" s="24"/>
      <c r="P17" s="24">
        <f t="shared" si="6"/>
        <v>17140</v>
      </c>
      <c r="Q17" s="24"/>
      <c r="R17" s="25">
        <f t="shared" si="3"/>
        <v>-1.1187836198067781E-2</v>
      </c>
      <c r="S17" s="57">
        <f t="shared" si="9"/>
        <v>66137.659034666605</v>
      </c>
      <c r="T17" s="57">
        <f t="shared" si="10"/>
        <v>-53605.110965333413</v>
      </c>
    </row>
    <row r="18" spans="3:21" s="4" customFormat="1" hidden="1" x14ac:dyDescent="0.25">
      <c r="C18" s="29" t="s">
        <v>12</v>
      </c>
      <c r="D18" s="30">
        <v>-179635</v>
      </c>
      <c r="E18" s="57">
        <v>-206707.51</v>
      </c>
      <c r="F18" s="57">
        <v>-236250</v>
      </c>
      <c r="G18" s="57">
        <v>-114184.16</v>
      </c>
      <c r="H18" s="57">
        <f t="shared" si="7"/>
        <v>122065.84</v>
      </c>
      <c r="I18" s="137">
        <v>-220197.32595199998</v>
      </c>
      <c r="J18" s="22"/>
      <c r="K18" s="22">
        <v>-233330</v>
      </c>
      <c r="L18" s="22">
        <v>7</v>
      </c>
      <c r="M18" s="22">
        <f t="shared" si="11"/>
        <v>-233330</v>
      </c>
      <c r="N18" s="22">
        <f t="shared" si="8"/>
        <v>-233330</v>
      </c>
      <c r="O18" s="24"/>
      <c r="P18" s="24">
        <f t="shared" si="6"/>
        <v>2920</v>
      </c>
      <c r="Q18" s="24"/>
      <c r="R18" s="25">
        <f t="shared" si="3"/>
        <v>-1.2359788359788361E-2</v>
      </c>
      <c r="S18" s="57">
        <f t="shared" si="9"/>
        <v>16052.674048000015</v>
      </c>
      <c r="T18" s="57">
        <f t="shared" si="10"/>
        <v>-13489.815951999975</v>
      </c>
    </row>
    <row r="19" spans="3:21" s="4" customFormat="1" hidden="1" x14ac:dyDescent="0.25">
      <c r="C19" s="29" t="s">
        <v>13</v>
      </c>
      <c r="D19" s="30">
        <v>-17638287</v>
      </c>
      <c r="E19" s="57">
        <v>-17804494.120000001</v>
      </c>
      <c r="F19" s="57">
        <v>-19494181</v>
      </c>
      <c r="G19" s="57">
        <v>-9740374.8399999999</v>
      </c>
      <c r="H19" s="57">
        <f t="shared" si="7"/>
        <v>9753806.1600000001</v>
      </c>
      <c r="I19" s="137">
        <v>-19578249.68</v>
      </c>
      <c r="J19" s="22"/>
      <c r="K19" s="22">
        <v>-4378156</v>
      </c>
      <c r="L19" s="22">
        <v>6</v>
      </c>
      <c r="M19" s="22">
        <f t="shared" si="11"/>
        <v>-4378156</v>
      </c>
      <c r="N19" s="22">
        <f t="shared" si="8"/>
        <v>-4378156</v>
      </c>
      <c r="O19" s="24"/>
      <c r="P19" s="24">
        <f t="shared" si="6"/>
        <v>15116025</v>
      </c>
      <c r="Q19" s="24"/>
      <c r="R19" s="25">
        <f t="shared" si="3"/>
        <v>-0.77541216017230985</v>
      </c>
      <c r="S19" s="57">
        <f t="shared" si="9"/>
        <v>-84068.679999999702</v>
      </c>
      <c r="T19" s="57">
        <f t="shared" si="10"/>
        <v>-1773755.5599999987</v>
      </c>
      <c r="U19" s="12"/>
    </row>
    <row r="20" spans="3:21" s="4" customFormat="1" hidden="1" x14ac:dyDescent="0.25">
      <c r="C20" s="29" t="s">
        <v>14</v>
      </c>
      <c r="D20" s="30">
        <v>-1297181</v>
      </c>
      <c r="E20" s="57">
        <v>-1230604.8500000001</v>
      </c>
      <c r="F20" s="57">
        <v>-1277486</v>
      </c>
      <c r="G20" s="57">
        <v>-615895.19999999995</v>
      </c>
      <c r="H20" s="57">
        <f t="shared" si="7"/>
        <v>661590.80000000005</v>
      </c>
      <c r="I20" s="137">
        <v>-1277486</v>
      </c>
      <c r="J20" s="22"/>
      <c r="K20" s="22">
        <v>-1260386</v>
      </c>
      <c r="L20" s="22">
        <v>1.1000000000000001</v>
      </c>
      <c r="M20" s="22">
        <f t="shared" si="11"/>
        <v>-1260386</v>
      </c>
      <c r="N20" s="22">
        <f t="shared" si="8"/>
        <v>-1260386</v>
      </c>
      <c r="O20" s="24"/>
      <c r="P20" s="24">
        <f t="shared" si="6"/>
        <v>17100</v>
      </c>
      <c r="Q20" s="24"/>
      <c r="R20" s="25">
        <f t="shared" si="3"/>
        <v>-1.3385665283220325E-2</v>
      </c>
      <c r="S20" s="57">
        <f t="shared" si="9"/>
        <v>0</v>
      </c>
      <c r="T20" s="57">
        <f t="shared" si="10"/>
        <v>-46881.149999999907</v>
      </c>
      <c r="U20" s="5"/>
    </row>
    <row r="21" spans="3:21" s="4" customFormat="1" hidden="1" x14ac:dyDescent="0.25">
      <c r="C21" s="29" t="s">
        <v>15</v>
      </c>
      <c r="D21" s="30">
        <v>-585406</v>
      </c>
      <c r="E21" s="57">
        <v>-601260.75</v>
      </c>
      <c r="F21" s="57">
        <v>-549000</v>
      </c>
      <c r="G21" s="57">
        <v>-209103.93</v>
      </c>
      <c r="H21" s="57">
        <f t="shared" si="7"/>
        <v>339896.07</v>
      </c>
      <c r="I21" s="137">
        <v>-507707.86</v>
      </c>
      <c r="J21" s="22"/>
      <c r="K21" s="22">
        <v>-549000</v>
      </c>
      <c r="L21" s="22">
        <v>5.8</v>
      </c>
      <c r="M21" s="22">
        <f t="shared" si="11"/>
        <v>-549000</v>
      </c>
      <c r="N21" s="22">
        <f t="shared" si="8"/>
        <v>-549000</v>
      </c>
      <c r="O21" s="24"/>
      <c r="P21" s="24">
        <f t="shared" si="6"/>
        <v>0</v>
      </c>
      <c r="Q21" s="24"/>
      <c r="R21" s="25">
        <f t="shared" si="3"/>
        <v>0</v>
      </c>
      <c r="S21" s="57">
        <f t="shared" si="9"/>
        <v>41292.140000000014</v>
      </c>
      <c r="T21" s="57">
        <f t="shared" si="10"/>
        <v>93552.890000000014</v>
      </c>
      <c r="U21" s="5"/>
    </row>
    <row r="22" spans="3:21" s="4" customFormat="1" hidden="1" x14ac:dyDescent="0.25">
      <c r="C22" s="29" t="s">
        <v>16</v>
      </c>
      <c r="D22" s="30">
        <v>-1772839</v>
      </c>
      <c r="E22" s="57">
        <v>-1806546.51</v>
      </c>
      <c r="F22" s="57">
        <v>-1844416</v>
      </c>
      <c r="G22" s="57">
        <v>-881460.71</v>
      </c>
      <c r="H22" s="57">
        <f t="shared" si="7"/>
        <v>962955.29</v>
      </c>
      <c r="I22" s="137">
        <v>-1762921.42</v>
      </c>
      <c r="J22" s="22"/>
      <c r="K22" s="22">
        <v>-1840986</v>
      </c>
      <c r="L22" s="22">
        <v>0.3</v>
      </c>
      <c r="M22" s="22">
        <f t="shared" si="11"/>
        <v>-1840986</v>
      </c>
      <c r="N22" s="22">
        <f t="shared" si="8"/>
        <v>-1840986</v>
      </c>
      <c r="O22" s="24"/>
      <c r="P22" s="24">
        <f t="shared" si="6"/>
        <v>3430</v>
      </c>
      <c r="Q22" s="24"/>
      <c r="R22" s="25">
        <f t="shared" si="3"/>
        <v>-1.8596672334223949E-3</v>
      </c>
      <c r="S22" s="57">
        <f t="shared" si="9"/>
        <v>81494.580000000075</v>
      </c>
      <c r="T22" s="57">
        <f t="shared" si="10"/>
        <v>43625.090000000084</v>
      </c>
      <c r="U22" s="5"/>
    </row>
    <row r="23" spans="3:21" s="4" customFormat="1" x14ac:dyDescent="0.25">
      <c r="C23" s="29" t="s">
        <v>60</v>
      </c>
      <c r="D23" s="30">
        <f>SUM(D16:D22)</f>
        <v>-29376615</v>
      </c>
      <c r="E23" s="57">
        <f>SUM(E16:E22)/1000000</f>
        <v>-29.755636670000005</v>
      </c>
      <c r="F23" s="57">
        <f>SUM(F16:F22)/1000000</f>
        <v>-32.393417999999997</v>
      </c>
      <c r="G23" s="57">
        <f>SUM(G16:G22)/1000000</f>
        <v>-15.930879449999999</v>
      </c>
      <c r="H23" s="57">
        <f>SUM(H16:H22)/1000000</f>
        <v>16.462538550000001</v>
      </c>
      <c r="I23" s="135">
        <f>SUM(I16:I22)/1000000</f>
        <v>-31.783325391810671</v>
      </c>
      <c r="J23" s="23">
        <f>(I23-E23)/E23</f>
        <v>6.8144692862680573E-2</v>
      </c>
      <c r="K23" s="22">
        <f>SUM(K16:K22)</f>
        <v>-17137865</v>
      </c>
      <c r="L23" s="22">
        <v>6.1</v>
      </c>
      <c r="M23" s="22">
        <f>SUM(M16:M22)</f>
        <v>-17137865</v>
      </c>
      <c r="N23" s="22">
        <f>SUM(N16:N22)</f>
        <v>-17137865</v>
      </c>
      <c r="O23" s="24"/>
      <c r="P23" s="24">
        <f t="shared" si="6"/>
        <v>-17137832.606582001</v>
      </c>
      <c r="Q23" s="24"/>
      <c r="R23" s="25">
        <f t="shared" si="3"/>
        <v>529052.92694281298</v>
      </c>
      <c r="S23" s="57">
        <f>SUM(S16:S22)/1000000</f>
        <v>0.61009260818933264</v>
      </c>
      <c r="T23" s="57">
        <f>SUM(T16:T22)/1000000</f>
        <v>-2.0276887218106658</v>
      </c>
      <c r="U23" s="5"/>
    </row>
    <row r="24" spans="3:21" s="4" customFormat="1" hidden="1" x14ac:dyDescent="0.25">
      <c r="C24" s="29"/>
      <c r="D24" s="30"/>
      <c r="E24" s="57"/>
      <c r="F24" s="57"/>
      <c r="G24" s="57"/>
      <c r="H24" s="57"/>
      <c r="I24" s="135"/>
      <c r="J24" s="23"/>
      <c r="K24" s="22"/>
      <c r="L24" s="22"/>
      <c r="M24" s="22"/>
      <c r="N24" s="22"/>
      <c r="O24" s="24"/>
      <c r="P24" s="24"/>
      <c r="Q24" s="24"/>
      <c r="R24" s="25"/>
      <c r="S24" s="57"/>
      <c r="T24" s="57"/>
      <c r="U24" s="5"/>
    </row>
    <row r="25" spans="3:21" s="6" customFormat="1" x14ac:dyDescent="0.25">
      <c r="C25" s="7" t="s">
        <v>61</v>
      </c>
      <c r="D25" s="32">
        <f>D23+D12</f>
        <v>-23977040</v>
      </c>
      <c r="E25" s="58">
        <f>SUM(E12,E23)</f>
        <v>-24.405127590000006</v>
      </c>
      <c r="F25" s="58">
        <f>SUM(F12,F23)</f>
        <v>-26.799998999999996</v>
      </c>
      <c r="G25" s="58">
        <f>SUM(G12,G23)</f>
        <v>-13.30515776</v>
      </c>
      <c r="H25" s="58">
        <f>SUM(H12,H23)</f>
        <v>13.494841240000001</v>
      </c>
      <c r="I25" s="138">
        <f>SUM(I12,I23)</f>
        <v>-26.127382011810671</v>
      </c>
      <c r="J25" s="27">
        <f>(I25-E25)/E25</f>
        <v>7.0569367665029428E-2</v>
      </c>
      <c r="K25" s="26">
        <f>SUM(K12,K23)</f>
        <v>-12183618</v>
      </c>
      <c r="L25" s="26">
        <v>5.0999999999999996</v>
      </c>
      <c r="M25" s="26">
        <f>SUM(M12,M23)</f>
        <v>-12183618</v>
      </c>
      <c r="N25" s="26">
        <f>SUM(N12,N23)</f>
        <v>-12183618</v>
      </c>
      <c r="O25" s="21"/>
      <c r="P25" s="21">
        <f t="shared" si="6"/>
        <v>-12183591.200000999</v>
      </c>
      <c r="Q25" s="21"/>
      <c r="R25" s="28">
        <f t="shared" si="3"/>
        <v>454611.62890345632</v>
      </c>
      <c r="S25" s="58">
        <f>SUM(S12,S23)</f>
        <v>0.6726169881893328</v>
      </c>
      <c r="T25" s="58">
        <f>SUM(T12,T23)</f>
        <v>-1.7222544218106657</v>
      </c>
      <c r="U25" s="8"/>
    </row>
    <row r="26" spans="3:21" s="4" customFormat="1" hidden="1" x14ac:dyDescent="0.25">
      <c r="C26" s="29"/>
      <c r="D26" s="30"/>
      <c r="E26" s="57"/>
      <c r="F26" s="57"/>
      <c r="G26" s="57"/>
      <c r="H26" s="57"/>
      <c r="I26" s="135"/>
      <c r="J26" s="23"/>
      <c r="K26" s="22"/>
      <c r="L26" s="22"/>
      <c r="M26" s="22"/>
      <c r="N26" s="22"/>
      <c r="O26" s="24"/>
      <c r="P26" s="24"/>
      <c r="Q26" s="24"/>
      <c r="R26" s="25"/>
      <c r="S26" s="57"/>
      <c r="T26" s="57"/>
      <c r="U26" s="5"/>
    </row>
    <row r="27" spans="3:21" s="4" customFormat="1" x14ac:dyDescent="0.25">
      <c r="C27" s="33" t="s">
        <v>19</v>
      </c>
      <c r="D27" s="30">
        <v>17941545</v>
      </c>
      <c r="E27" s="57">
        <f>19196219.5/1000000</f>
        <v>19.196219500000002</v>
      </c>
      <c r="F27" s="57">
        <f>19659070/1000000</f>
        <v>19.65907</v>
      </c>
      <c r="G27" s="57">
        <f>10353863.23/1000000</f>
        <v>10.35386323</v>
      </c>
      <c r="H27" s="57">
        <f t="shared" ref="H27:H33" si="12">G27-F27</f>
        <v>-9.3052067699999998</v>
      </c>
      <c r="I27" s="135">
        <f>20829980.75054/1000000</f>
        <v>20.829980750539999</v>
      </c>
      <c r="J27" s="22"/>
      <c r="K27" s="22">
        <f>[1]Verotulot!G39</f>
        <v>11042933.647458548</v>
      </c>
      <c r="L27" s="22">
        <v>8.9</v>
      </c>
      <c r="M27" s="22">
        <f>[1]Verotulot!H39</f>
        <v>10963406.442934247</v>
      </c>
      <c r="N27" s="22">
        <f>[1]Verotulot!I39</f>
        <v>11188239.258458849</v>
      </c>
      <c r="O27" s="24"/>
      <c r="P27" s="24">
        <f t="shared" si="6"/>
        <v>11042913.988388548</v>
      </c>
      <c r="Q27" s="24"/>
      <c r="R27" s="25">
        <f t="shared" si="3"/>
        <v>561721.07777166204</v>
      </c>
      <c r="S27" s="57">
        <f>I27-F27</f>
        <v>1.1709107505399992</v>
      </c>
      <c r="T27" s="57">
        <f t="shared" ref="T27:T33" si="13">I27-E27</f>
        <v>1.6337612505399974</v>
      </c>
      <c r="U27" s="5"/>
    </row>
    <row r="28" spans="3:21" s="4" customFormat="1" x14ac:dyDescent="0.25">
      <c r="C28" s="33" t="s">
        <v>20</v>
      </c>
      <c r="D28" s="30">
        <v>9149888</v>
      </c>
      <c r="E28" s="57">
        <f>7974051/1000000</f>
        <v>7.9740510000000002</v>
      </c>
      <c r="F28" s="57">
        <f>7771608/1000000</f>
        <v>7.7716079999999996</v>
      </c>
      <c r="G28" s="57">
        <f>3852924/1000000</f>
        <v>3.8529239999999998</v>
      </c>
      <c r="H28" s="57">
        <f t="shared" si="12"/>
        <v>-3.9186839999999998</v>
      </c>
      <c r="I28" s="135">
        <f>7936018/1000000</f>
        <v>7.9360179999999998</v>
      </c>
      <c r="J28" s="22"/>
      <c r="K28" s="22">
        <v>2638164</v>
      </c>
      <c r="L28" s="22">
        <v>-2.9</v>
      </c>
      <c r="M28" s="22">
        <f>K28-85000</f>
        <v>2553164</v>
      </c>
      <c r="N28" s="22">
        <f>M28</f>
        <v>2553164</v>
      </c>
      <c r="O28" s="24"/>
      <c r="P28" s="24">
        <f t="shared" si="6"/>
        <v>2638156.2283919998</v>
      </c>
      <c r="Q28" s="24"/>
      <c r="R28" s="25">
        <f t="shared" si="3"/>
        <v>339460.79477914993</v>
      </c>
      <c r="S28" s="57">
        <f>I28-F28</f>
        <v>0.16441000000000017</v>
      </c>
      <c r="T28" s="57">
        <f t="shared" si="13"/>
        <v>-3.8033000000000428E-2</v>
      </c>
    </row>
    <row r="29" spans="3:21" s="4" customFormat="1" hidden="1" x14ac:dyDescent="0.25">
      <c r="C29" s="33" t="s">
        <v>21</v>
      </c>
      <c r="D29" s="30"/>
      <c r="E29" s="59"/>
      <c r="F29" s="57"/>
      <c r="G29" s="59"/>
      <c r="H29" s="59"/>
      <c r="I29" s="139"/>
      <c r="J29" s="24"/>
      <c r="K29" s="22"/>
      <c r="L29" s="22"/>
      <c r="M29" s="22"/>
      <c r="N29" s="22"/>
      <c r="O29" s="24"/>
      <c r="P29" s="24">
        <f t="shared" si="6"/>
        <v>0</v>
      </c>
      <c r="Q29" s="24"/>
      <c r="R29" s="25"/>
      <c r="S29" s="57"/>
      <c r="T29" s="57"/>
    </row>
    <row r="30" spans="3:21" s="4" customFormat="1" hidden="1" x14ac:dyDescent="0.25">
      <c r="C30" s="33" t="s">
        <v>22</v>
      </c>
      <c r="D30" s="30">
        <v>5668</v>
      </c>
      <c r="E30" s="57">
        <v>0</v>
      </c>
      <c r="F30" s="57">
        <v>100</v>
      </c>
      <c r="G30" s="57">
        <v>0</v>
      </c>
      <c r="H30" s="57">
        <f t="shared" si="12"/>
        <v>-100</v>
      </c>
      <c r="I30" s="135">
        <v>0</v>
      </c>
      <c r="J30" s="22"/>
      <c r="K30" s="22">
        <v>100</v>
      </c>
      <c r="L30" s="22"/>
      <c r="M30" s="22">
        <f t="shared" ref="M30:M33" si="14">K30</f>
        <v>100</v>
      </c>
      <c r="N30" s="22">
        <f t="shared" ref="N30:N33" si="15">M30</f>
        <v>100</v>
      </c>
      <c r="O30" s="24"/>
      <c r="P30" s="24">
        <f t="shared" si="6"/>
        <v>0</v>
      </c>
      <c r="Q30" s="24"/>
      <c r="R30" s="25">
        <f t="shared" si="3"/>
        <v>0</v>
      </c>
      <c r="S30" s="57">
        <f>I30-F30</f>
        <v>-100</v>
      </c>
      <c r="T30" s="57">
        <f t="shared" si="13"/>
        <v>0</v>
      </c>
    </row>
    <row r="31" spans="3:21" s="4" customFormat="1" hidden="1" x14ac:dyDescent="0.25">
      <c r="C31" s="33" t="s">
        <v>23</v>
      </c>
      <c r="D31" s="30">
        <v>86841</v>
      </c>
      <c r="E31" s="57">
        <v>130092.63</v>
      </c>
      <c r="F31" s="57">
        <v>51728</v>
      </c>
      <c r="G31" s="57">
        <v>54553.99</v>
      </c>
      <c r="H31" s="57">
        <f t="shared" si="12"/>
        <v>2825.989999999998</v>
      </c>
      <c r="I31" s="135">
        <v>86053.989999999991</v>
      </c>
      <c r="J31" s="22"/>
      <c r="K31" s="22">
        <v>41176</v>
      </c>
      <c r="L31" s="22">
        <v>80.900000000000006</v>
      </c>
      <c r="M31" s="22">
        <f t="shared" si="14"/>
        <v>41176</v>
      </c>
      <c r="N31" s="22">
        <f t="shared" si="15"/>
        <v>41176</v>
      </c>
      <c r="O31" s="24"/>
      <c r="P31" s="24">
        <f t="shared" si="6"/>
        <v>-10552</v>
      </c>
      <c r="Q31" s="24"/>
      <c r="R31" s="25">
        <f t="shared" si="3"/>
        <v>-0.20399010207237861</v>
      </c>
      <c r="S31" s="57">
        <f>I31-F31</f>
        <v>34325.989999999991</v>
      </c>
      <c r="T31" s="57">
        <f t="shared" si="13"/>
        <v>-44038.640000000014</v>
      </c>
    </row>
    <row r="32" spans="3:21" s="4" customFormat="1" hidden="1" x14ac:dyDescent="0.25">
      <c r="C32" s="33" t="s">
        <v>24</v>
      </c>
      <c r="D32" s="30">
        <v>-71892</v>
      </c>
      <c r="E32" s="57">
        <v>-39181.07</v>
      </c>
      <c r="F32" s="57">
        <v>-50500</v>
      </c>
      <c r="G32" s="57">
        <v>-7720.24</v>
      </c>
      <c r="H32" s="57">
        <f t="shared" si="12"/>
        <v>42779.76</v>
      </c>
      <c r="I32" s="135">
        <v>-33720.239999999998</v>
      </c>
      <c r="J32" s="22"/>
      <c r="K32" s="22">
        <v>-94500</v>
      </c>
      <c r="L32" s="22">
        <v>-46.6</v>
      </c>
      <c r="M32" s="22">
        <f t="shared" si="14"/>
        <v>-94500</v>
      </c>
      <c r="N32" s="22">
        <f t="shared" si="15"/>
        <v>-94500</v>
      </c>
      <c r="O32" s="24"/>
      <c r="P32" s="24">
        <f t="shared" si="6"/>
        <v>-44000</v>
      </c>
      <c r="Q32" s="24"/>
      <c r="R32" s="25">
        <f t="shared" si="3"/>
        <v>0.87128712871287128</v>
      </c>
      <c r="S32" s="57">
        <f>I32-F32</f>
        <v>16779.760000000002</v>
      </c>
      <c r="T32" s="57">
        <f t="shared" si="13"/>
        <v>5460.8300000000017</v>
      </c>
    </row>
    <row r="33" spans="1:20" s="4" customFormat="1" hidden="1" x14ac:dyDescent="0.25">
      <c r="C33" s="33" t="s">
        <v>25</v>
      </c>
      <c r="D33" s="30">
        <v>-47992</v>
      </c>
      <c r="E33" s="57">
        <v>-903678.22</v>
      </c>
      <c r="F33" s="57">
        <v>-103544</v>
      </c>
      <c r="G33" s="57">
        <v>-57348.53</v>
      </c>
      <c r="H33" s="57">
        <f t="shared" si="12"/>
        <v>46195.47</v>
      </c>
      <c r="I33" s="135">
        <v>-102348.53</v>
      </c>
      <c r="J33" s="22"/>
      <c r="K33" s="22">
        <v>-94259</v>
      </c>
      <c r="L33" s="22">
        <v>2.5</v>
      </c>
      <c r="M33" s="22">
        <f t="shared" si="14"/>
        <v>-94259</v>
      </c>
      <c r="N33" s="22">
        <f t="shared" si="15"/>
        <v>-94259</v>
      </c>
      <c r="O33" s="24"/>
      <c r="P33" s="24">
        <f t="shared" si="6"/>
        <v>9285</v>
      </c>
      <c r="Q33" s="24"/>
      <c r="R33" s="25">
        <f t="shared" si="3"/>
        <v>-8.9672023487599478E-2</v>
      </c>
      <c r="S33" s="57">
        <f>I33-F33</f>
        <v>1195.4700000000012</v>
      </c>
      <c r="T33" s="57">
        <f t="shared" si="13"/>
        <v>801329.69</v>
      </c>
    </row>
    <row r="34" spans="1:20" s="4" customFormat="1" x14ac:dyDescent="0.25">
      <c r="C34" s="33" t="s">
        <v>21</v>
      </c>
      <c r="D34" s="30">
        <v>-27374</v>
      </c>
      <c r="E34" s="57">
        <f>SUM(E30:E33)/1000000</f>
        <v>-0.81276665999999986</v>
      </c>
      <c r="F34" s="57">
        <f>SUM(F30:F33)/1000000</f>
        <v>-0.102216</v>
      </c>
      <c r="G34" s="57">
        <f>SUM(G30:G33)/1000000</f>
        <v>-1.051478E-2</v>
      </c>
      <c r="H34" s="57">
        <f>SUM(H30:H33)/1000000</f>
        <v>9.170122E-2</v>
      </c>
      <c r="I34" s="135">
        <f>SUM(I30:I33)/1000000</f>
        <v>-5.0014780000000009E-2</v>
      </c>
      <c r="J34" s="23">
        <f>(I34-E34)/E34</f>
        <v>-0.93846354376790009</v>
      </c>
      <c r="K34" s="22">
        <f>SUM(K30:K33)</f>
        <v>-147483</v>
      </c>
      <c r="L34" s="22">
        <v>-38.700000000000003</v>
      </c>
      <c r="M34" s="22">
        <f>SUM(M30:M33)</f>
        <v>-147483</v>
      </c>
      <c r="N34" s="22">
        <f>SUM(N30:N33)</f>
        <v>-147483</v>
      </c>
      <c r="O34" s="24"/>
      <c r="P34" s="24">
        <f t="shared" si="6"/>
        <v>-147482.897784</v>
      </c>
      <c r="Q34" s="24"/>
      <c r="R34" s="25">
        <f t="shared" si="3"/>
        <v>1442855.3042967832</v>
      </c>
      <c r="S34" s="57">
        <f>SUM(S30:S33)/1000000</f>
        <v>5.2201219999999993E-2</v>
      </c>
      <c r="T34" s="57">
        <f>SUM(T30:T33)/1000000</f>
        <v>0.76275187999999994</v>
      </c>
    </row>
    <row r="35" spans="1:20" s="4" customFormat="1" hidden="1" x14ac:dyDescent="0.25">
      <c r="C35" s="29"/>
      <c r="D35" s="30"/>
      <c r="E35" s="57"/>
      <c r="F35" s="57"/>
      <c r="G35" s="57"/>
      <c r="H35" s="57"/>
      <c r="I35" s="135"/>
      <c r="J35" s="23"/>
      <c r="K35" s="22"/>
      <c r="L35" s="22"/>
      <c r="M35" s="22"/>
      <c r="N35" s="22"/>
      <c r="O35" s="24"/>
      <c r="P35" s="24"/>
      <c r="Q35" s="24"/>
      <c r="R35" s="25"/>
      <c r="S35" s="57"/>
      <c r="T35" s="57"/>
    </row>
    <row r="36" spans="1:20" s="6" customFormat="1" x14ac:dyDescent="0.25">
      <c r="C36" s="7" t="s">
        <v>62</v>
      </c>
      <c r="D36" s="32">
        <f>D25+D27+D28+D34</f>
        <v>3087019</v>
      </c>
      <c r="E36" s="58">
        <f>SUM(E25:E28,E34)</f>
        <v>1.9523762499999955</v>
      </c>
      <c r="F36" s="58">
        <f>SUM(F25:F28,F34)</f>
        <v>0.52846300000000335</v>
      </c>
      <c r="G36" s="58">
        <f>SUM(G25:G28,G34)</f>
        <v>0.89111468999999965</v>
      </c>
      <c r="H36" s="58">
        <f>SUM(H25:H28,H34)</f>
        <v>0.36265169000000164</v>
      </c>
      <c r="I36" s="138">
        <f>SUM(I25:I28,I34)</f>
        <v>2.5886019587293281</v>
      </c>
      <c r="J36" s="27">
        <f>(I36-E36)/E36</f>
        <v>0.32587248934693508</v>
      </c>
      <c r="K36" s="26">
        <f>SUM(K25:K28,K34)</f>
        <v>1349996.6474585477</v>
      </c>
      <c r="L36" s="26">
        <v>33.6</v>
      </c>
      <c r="M36" s="26">
        <f>SUM(M25:M28,M34)</f>
        <v>1185469.4429342467</v>
      </c>
      <c r="N36" s="26">
        <f>SUM(N25:N28,N34)</f>
        <v>1410302.258458849</v>
      </c>
      <c r="O36" s="21"/>
      <c r="P36" s="21">
        <f t="shared" si="6"/>
        <v>1349996.1189955478</v>
      </c>
      <c r="Q36" s="21"/>
      <c r="R36" s="28">
        <f t="shared" si="3"/>
        <v>2554570.7438279297</v>
      </c>
      <c r="S36" s="58">
        <f>SUM(S25:S28,S34)</f>
        <v>2.0601389587293322</v>
      </c>
      <c r="T36" s="58">
        <f>SUM(T25:T28,T34)</f>
        <v>0.63622570872933126</v>
      </c>
    </row>
    <row r="37" spans="1:20" s="4" customFormat="1" hidden="1" x14ac:dyDescent="0.25">
      <c r="C37" s="29"/>
      <c r="D37" s="30"/>
      <c r="E37" s="57"/>
      <c r="F37" s="57"/>
      <c r="G37" s="57"/>
      <c r="H37" s="57"/>
      <c r="I37" s="135"/>
      <c r="J37" s="23"/>
      <c r="K37" s="22"/>
      <c r="L37" s="22"/>
      <c r="M37" s="22"/>
      <c r="N37" s="22"/>
      <c r="O37" s="24"/>
      <c r="P37" s="24"/>
      <c r="Q37" s="24"/>
      <c r="R37" s="25"/>
      <c r="S37" s="57"/>
      <c r="T37" s="57"/>
    </row>
    <row r="38" spans="1:20" s="4" customFormat="1" hidden="1" x14ac:dyDescent="0.25">
      <c r="C38" s="29" t="s">
        <v>28</v>
      </c>
      <c r="D38" s="30"/>
      <c r="E38" s="57"/>
      <c r="F38" s="57"/>
      <c r="G38" s="57"/>
      <c r="H38" s="57"/>
      <c r="I38" s="135"/>
      <c r="J38" s="22"/>
      <c r="K38" s="22"/>
      <c r="L38" s="22"/>
      <c r="M38" s="22"/>
      <c r="N38" s="22"/>
      <c r="O38" s="24"/>
      <c r="P38" s="24">
        <f t="shared" si="6"/>
        <v>0</v>
      </c>
      <c r="Q38" s="24"/>
      <c r="R38" s="25"/>
      <c r="S38" s="57"/>
      <c r="T38" s="57"/>
    </row>
    <row r="39" spans="1:20" s="4" customFormat="1" x14ac:dyDescent="0.25">
      <c r="C39" s="33" t="s">
        <v>28</v>
      </c>
      <c r="D39" s="30">
        <v>-1521697</v>
      </c>
      <c r="E39" s="59">
        <f>-1482122.69/1000000</f>
        <v>-1.48212269</v>
      </c>
      <c r="F39" s="57">
        <f>-1521536/1000000</f>
        <v>-1.521536</v>
      </c>
      <c r="G39" s="59">
        <f>-679812.9/1000000</f>
        <v>-0.67981290000000005</v>
      </c>
      <c r="H39" s="57">
        <f t="shared" ref="H39" si="16">G39-F39</f>
        <v>0.84172309999999995</v>
      </c>
      <c r="I39" s="135">
        <f>'Tuloslaskelma ulk ja sis_esitys'!H41/1000000</f>
        <v>-1.3596258000000001</v>
      </c>
      <c r="J39" s="24"/>
      <c r="K39" s="22">
        <v>-1620336</v>
      </c>
      <c r="L39" s="22"/>
      <c r="M39" s="22">
        <v>-1900000</v>
      </c>
      <c r="N39" s="22">
        <f>M39</f>
        <v>-1900000</v>
      </c>
      <c r="O39" s="24"/>
      <c r="P39" s="24">
        <f t="shared" si="6"/>
        <v>-1620334.4784639999</v>
      </c>
      <c r="Q39" s="24"/>
      <c r="R39" s="25">
        <f t="shared" si="3"/>
        <v>1064933.3820980904</v>
      </c>
      <c r="S39" s="57">
        <f t="shared" ref="S39:S43" si="17">I39-F39</f>
        <v>0.16191019999999989</v>
      </c>
      <c r="T39" s="57">
        <f t="shared" ref="T39" si="18">I39-E39</f>
        <v>0.12249688999999986</v>
      </c>
    </row>
    <row r="40" spans="1:20" s="4" customFormat="1" hidden="1" x14ac:dyDescent="0.25">
      <c r="C40" s="29"/>
      <c r="D40" s="30"/>
      <c r="E40" s="59"/>
      <c r="F40" s="57"/>
      <c r="G40" s="59"/>
      <c r="H40" s="59"/>
      <c r="I40" s="135"/>
      <c r="J40" s="24"/>
      <c r="K40" s="22"/>
      <c r="L40" s="22"/>
      <c r="M40" s="22"/>
      <c r="N40" s="22"/>
      <c r="O40" s="24"/>
      <c r="P40" s="24"/>
      <c r="Q40" s="24"/>
      <c r="R40" s="25"/>
      <c r="S40" s="57"/>
      <c r="T40" s="57"/>
    </row>
    <row r="41" spans="1:20" s="6" customFormat="1" x14ac:dyDescent="0.25">
      <c r="C41" s="7" t="s">
        <v>31</v>
      </c>
      <c r="D41" s="32">
        <f>D36+D39</f>
        <v>1565322</v>
      </c>
      <c r="E41" s="60">
        <f>SUM(E36,E39)</f>
        <v>0.47025355999999552</v>
      </c>
      <c r="F41" s="60">
        <f>SUM(F36,F39)</f>
        <v>-0.99307299999999665</v>
      </c>
      <c r="G41" s="60">
        <f>SUM(G36,G39)</f>
        <v>0.2113017899999996</v>
      </c>
      <c r="H41" s="60">
        <f>SUM(H36,H39)</f>
        <v>1.2043747900000015</v>
      </c>
      <c r="I41" s="146">
        <f>SUM(I36,I39)</f>
        <v>1.228976158729328</v>
      </c>
      <c r="J41" s="27">
        <f>(I41-E41)/E41</f>
        <v>1.613432971627774</v>
      </c>
      <c r="K41" s="21">
        <f>SUM(K36,K39)</f>
        <v>-270339.35254145227</v>
      </c>
      <c r="L41" s="26">
        <v>-11.8</v>
      </c>
      <c r="M41" s="21">
        <f>SUM(M36,M39)</f>
        <v>-714530.55706575327</v>
      </c>
      <c r="N41" s="21">
        <f>SUM(N36,N39)</f>
        <v>-489697.74154115096</v>
      </c>
      <c r="O41" s="21"/>
      <c r="P41" s="21">
        <f t="shared" si="6"/>
        <v>-270338.35946845228</v>
      </c>
      <c r="Q41" s="21"/>
      <c r="R41" s="28">
        <f t="shared" si="3"/>
        <v>272224.055500908</v>
      </c>
      <c r="S41" s="60">
        <f>SUM(S36,S39)</f>
        <v>2.2220491587293321</v>
      </c>
      <c r="T41" s="60">
        <f>SUM(T36,T39)</f>
        <v>0.75872259872933112</v>
      </c>
    </row>
    <row r="42" spans="1:20" s="4" customFormat="1" hidden="1" x14ac:dyDescent="0.25">
      <c r="C42" s="29"/>
      <c r="D42" s="30"/>
      <c r="E42" s="59"/>
      <c r="F42" s="59"/>
      <c r="G42" s="59"/>
      <c r="H42" s="59"/>
      <c r="I42" s="139"/>
      <c r="J42" s="23"/>
      <c r="K42" s="24"/>
      <c r="L42" s="22"/>
      <c r="M42" s="24"/>
      <c r="N42" s="24"/>
      <c r="O42" s="24"/>
      <c r="P42" s="24"/>
      <c r="Q42" s="24"/>
      <c r="R42" s="25"/>
      <c r="S42" s="59"/>
      <c r="T42" s="59"/>
    </row>
    <row r="43" spans="1:20" s="4" customFormat="1" x14ac:dyDescent="0.25">
      <c r="C43" s="33" t="s">
        <v>32</v>
      </c>
      <c r="D43" s="30">
        <v>39122</v>
      </c>
      <c r="E43" s="59">
        <f>17545.68/1000000</f>
        <v>1.7545680000000001E-2</v>
      </c>
      <c r="F43" s="57">
        <f>39100/1000000</f>
        <v>3.9100000000000003E-2</v>
      </c>
      <c r="G43" s="59">
        <f>0/1000000</f>
        <v>0</v>
      </c>
      <c r="H43" s="57">
        <f t="shared" ref="H43" si="19">G43-F43</f>
        <v>-3.9100000000000003E-2</v>
      </c>
      <c r="I43" s="135">
        <f>(G43*4)/1000000</f>
        <v>0</v>
      </c>
      <c r="J43" s="24"/>
      <c r="K43" s="22">
        <v>0</v>
      </c>
      <c r="L43" s="22"/>
      <c r="M43" s="22">
        <v>0</v>
      </c>
      <c r="N43" s="22">
        <v>0</v>
      </c>
      <c r="O43" s="24"/>
      <c r="P43" s="24">
        <f t="shared" si="6"/>
        <v>-3.9100000000000003E-2</v>
      </c>
      <c r="Q43" s="24"/>
      <c r="R43" s="25">
        <f t="shared" si="3"/>
        <v>-1</v>
      </c>
      <c r="S43" s="57">
        <f t="shared" si="17"/>
        <v>-3.9100000000000003E-2</v>
      </c>
      <c r="T43" s="57">
        <f t="shared" ref="T43" si="20">I43-E43</f>
        <v>-1.7545680000000001E-2</v>
      </c>
    </row>
    <row r="44" spans="1:20" s="4" customFormat="1" hidden="1" x14ac:dyDescent="0.25">
      <c r="C44" s="29" t="s">
        <v>44</v>
      </c>
      <c r="D44" s="30"/>
      <c r="E44" s="59"/>
      <c r="F44" s="57"/>
      <c r="G44" s="59"/>
      <c r="H44" s="59"/>
      <c r="I44" s="139"/>
      <c r="J44" s="24"/>
      <c r="K44" s="22"/>
      <c r="L44" s="22"/>
      <c r="M44" s="22"/>
      <c r="N44" s="22"/>
      <c r="O44" s="24"/>
      <c r="P44" s="24">
        <f t="shared" si="6"/>
        <v>0</v>
      </c>
      <c r="Q44" s="24"/>
      <c r="R44" s="25"/>
      <c r="S44" s="57"/>
      <c r="T44" s="57"/>
    </row>
    <row r="45" spans="1:20" s="4" customFormat="1" hidden="1" x14ac:dyDescent="0.25">
      <c r="C45" s="29" t="s">
        <v>45</v>
      </c>
      <c r="D45" s="30"/>
      <c r="E45" s="59"/>
      <c r="F45" s="57"/>
      <c r="G45" s="59"/>
      <c r="H45" s="59"/>
      <c r="I45" s="139"/>
      <c r="J45" s="24"/>
      <c r="K45" s="22"/>
      <c r="L45" s="22"/>
      <c r="M45" s="22"/>
      <c r="N45" s="22"/>
      <c r="O45" s="24"/>
      <c r="P45" s="24">
        <f t="shared" si="6"/>
        <v>0</v>
      </c>
      <c r="Q45" s="24"/>
      <c r="R45" s="25"/>
      <c r="S45" s="57"/>
      <c r="T45" s="57"/>
    </row>
    <row r="46" spans="1:20" s="4" customFormat="1" hidden="1" x14ac:dyDescent="0.25">
      <c r="C46" s="29"/>
      <c r="D46" s="30"/>
      <c r="E46" s="59"/>
      <c r="F46" s="57"/>
      <c r="G46" s="59"/>
      <c r="H46" s="59"/>
      <c r="I46" s="139"/>
      <c r="J46" s="24"/>
      <c r="K46" s="22"/>
      <c r="L46" s="22"/>
      <c r="M46" s="22"/>
      <c r="N46" s="22"/>
      <c r="O46" s="24"/>
      <c r="P46" s="24"/>
      <c r="Q46" s="24"/>
      <c r="R46" s="25"/>
      <c r="S46" s="57"/>
      <c r="T46" s="57"/>
    </row>
    <row r="47" spans="1:20" s="6" customFormat="1" x14ac:dyDescent="0.25">
      <c r="C47" s="7" t="s">
        <v>63</v>
      </c>
      <c r="D47" s="32">
        <f>D41+D43</f>
        <v>1604444</v>
      </c>
      <c r="E47" s="60">
        <f>SUM(E41:E43)</f>
        <v>0.48779923999999553</v>
      </c>
      <c r="F47" s="60">
        <f>SUM(F41:F43)</f>
        <v>-0.95397299999999663</v>
      </c>
      <c r="G47" s="60">
        <f>SUM(G41:G43)</f>
        <v>0.2113017899999996</v>
      </c>
      <c r="H47" s="60">
        <f>SUM(H41:H43)</f>
        <v>1.1652747900000016</v>
      </c>
      <c r="I47" s="146">
        <f>SUM(I41:I43)</f>
        <v>1.228976158729328</v>
      </c>
      <c r="J47" s="27">
        <f>(I47-E47)/E47</f>
        <v>1.5194302449699169</v>
      </c>
      <c r="K47" s="21">
        <f>SUM(K41:K43)</f>
        <v>-270339.35254145227</v>
      </c>
      <c r="L47" s="26">
        <v>-12.2</v>
      </c>
      <c r="M47" s="21">
        <f>SUM(M41:M43)</f>
        <v>-714530.55706575327</v>
      </c>
      <c r="N47" s="21">
        <f>SUM(N41:N43)</f>
        <v>-489697.74154115096</v>
      </c>
      <c r="O47" s="21"/>
      <c r="P47" s="21">
        <f t="shared" si="6"/>
        <v>-270338.39856845228</v>
      </c>
      <c r="Q47" s="21"/>
      <c r="R47" s="28">
        <f t="shared" si="3"/>
        <v>283381.60363915248</v>
      </c>
      <c r="S47" s="60">
        <f>SUM(S41:S43)</f>
        <v>2.1829491587293322</v>
      </c>
      <c r="T47" s="60">
        <f>SUM(T41:T43)</f>
        <v>0.74117691872933111</v>
      </c>
    </row>
    <row r="48" spans="1:20" s="9" customFormat="1" hidden="1" x14ac:dyDescent="0.25">
      <c r="A48" s="4"/>
      <c r="B48" s="4"/>
      <c r="C48" s="5"/>
      <c r="D48" s="5"/>
      <c r="E48" s="5"/>
      <c r="F48" s="53"/>
      <c r="G48" s="53"/>
      <c r="H48" s="53"/>
      <c r="I48" s="53"/>
      <c r="J48" s="5"/>
      <c r="K48" s="5"/>
      <c r="L48" s="5"/>
      <c r="M48" s="5"/>
      <c r="N48" s="5"/>
      <c r="O48" s="5"/>
      <c r="P48" s="5"/>
      <c r="Q48" s="5"/>
      <c r="R48" s="5"/>
      <c r="S48" s="59"/>
      <c r="T48" s="59"/>
    </row>
    <row r="49" spans="1:87" s="74" customFormat="1" x14ac:dyDescent="0.25">
      <c r="A49" s="4"/>
      <c r="B49" s="4"/>
      <c r="C49" s="5"/>
      <c r="D49" s="5"/>
      <c r="E49" s="5"/>
      <c r="F49" s="53"/>
      <c r="G49" s="53"/>
      <c r="H49" s="53"/>
      <c r="I49" s="53"/>
      <c r="J49" s="5"/>
      <c r="K49" s="5"/>
      <c r="L49" s="5"/>
      <c r="M49" s="5"/>
      <c r="N49" s="5"/>
      <c r="O49" s="5"/>
      <c r="P49" s="5"/>
      <c r="Q49" s="5"/>
      <c r="R49" s="5"/>
      <c r="S49" s="59"/>
      <c r="T49" s="5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row>
    <row r="50" spans="1:87" ht="45" x14ac:dyDescent="0.25">
      <c r="A50" s="4"/>
      <c r="B50" s="4"/>
      <c r="C50" s="158"/>
      <c r="D50" s="36" t="s">
        <v>36</v>
      </c>
      <c r="E50" s="36" t="s">
        <v>1</v>
      </c>
      <c r="F50" s="36" t="s">
        <v>37</v>
      </c>
      <c r="G50" s="36" t="s">
        <v>72</v>
      </c>
      <c r="H50" s="77" t="s">
        <v>74</v>
      </c>
      <c r="I50" s="36" t="s">
        <v>38</v>
      </c>
      <c r="J50" s="156"/>
      <c r="K50" s="156" t="s">
        <v>39</v>
      </c>
      <c r="L50" s="156" t="s">
        <v>40</v>
      </c>
      <c r="M50" s="156" t="s">
        <v>41</v>
      </c>
      <c r="N50" s="156" t="s">
        <v>42</v>
      </c>
      <c r="O50" s="20"/>
      <c r="P50" s="20"/>
      <c r="Q50" s="20"/>
      <c r="R50" s="20"/>
      <c r="S50" s="77" t="s">
        <v>75</v>
      </c>
      <c r="T50" s="77" t="s">
        <v>73</v>
      </c>
    </row>
    <row r="51" spans="1:87" s="9" customFormat="1" x14ac:dyDescent="0.25">
      <c r="A51" s="6"/>
      <c r="B51" s="6"/>
      <c r="C51" s="53" t="s">
        <v>46</v>
      </c>
      <c r="D51" s="54">
        <f>D12/D23</f>
        <v>-0.18380521377292788</v>
      </c>
      <c r="E51" s="54">
        <f>E12/E23</f>
        <v>-0.17981497554022927</v>
      </c>
      <c r="F51" s="54">
        <f>F12/F23</f>
        <v>-0.17267146677760278</v>
      </c>
      <c r="G51" s="54">
        <f>G12/G23</f>
        <v>-0.1648196321013527</v>
      </c>
      <c r="H51" s="71">
        <f t="shared" ref="H51:H54" si="21">G51-F51</f>
        <v>7.8518346762500857E-3</v>
      </c>
      <c r="I51" s="140">
        <f>I12/I23</f>
        <v>-0.17795316601633249</v>
      </c>
      <c r="J51" s="54"/>
      <c r="K51" s="54">
        <f t="shared" ref="K51:N51" si="22">K12/K23</f>
        <v>-0.28908192473216471</v>
      </c>
      <c r="L51" s="143" t="s">
        <v>47</v>
      </c>
      <c r="M51" s="54">
        <f t="shared" si="22"/>
        <v>-0.28908192473216471</v>
      </c>
      <c r="N51" s="54">
        <f t="shared" si="22"/>
        <v>-0.28908192473216471</v>
      </c>
      <c r="O51" s="53"/>
      <c r="P51" s="53"/>
      <c r="Q51" s="53"/>
      <c r="R51" s="53"/>
      <c r="S51" s="30">
        <f t="shared" ref="S51:S54" si="23">I51-F51</f>
        <v>-5.2816992387297035E-3</v>
      </c>
      <c r="T51" s="30">
        <f>I51-E51</f>
        <v>1.8618095238967791E-3</v>
      </c>
    </row>
    <row r="52" spans="1:87" s="9" customFormat="1" x14ac:dyDescent="0.25">
      <c r="A52" s="4"/>
      <c r="B52" s="4"/>
      <c r="C52" s="53" t="s">
        <v>48</v>
      </c>
      <c r="D52" s="55">
        <f>D36/-D39</f>
        <v>2.0286686508549336</v>
      </c>
      <c r="E52" s="55">
        <f>E36/-E39</f>
        <v>1.3172838275622079</v>
      </c>
      <c r="F52" s="55">
        <f>F36/-F39</f>
        <v>0.34732204824598523</v>
      </c>
      <c r="G52" s="55">
        <f>G36/-G39</f>
        <v>1.310823448628291</v>
      </c>
      <c r="H52" s="72">
        <f t="shared" si="21"/>
        <v>0.96350140038230581</v>
      </c>
      <c r="I52" s="141">
        <f>I36/-I39</f>
        <v>1.9039076477728856</v>
      </c>
      <c r="J52" s="55"/>
      <c r="K52" s="55">
        <f t="shared" ref="K52:N52" si="24">K36/-K39</f>
        <v>0.83315846062702292</v>
      </c>
      <c r="L52" s="143" t="s">
        <v>49</v>
      </c>
      <c r="M52" s="55">
        <f t="shared" si="24"/>
        <v>0.62393128575486667</v>
      </c>
      <c r="N52" s="55">
        <f t="shared" si="24"/>
        <v>0.74226434655728901</v>
      </c>
      <c r="O52" s="53"/>
      <c r="P52" s="53"/>
      <c r="Q52" s="53"/>
      <c r="R52" s="53"/>
      <c r="S52" s="30">
        <f t="shared" si="23"/>
        <v>1.5565855995269002</v>
      </c>
      <c r="T52" s="30">
        <f t="shared" ref="T52:T54" si="25">I52-E52</f>
        <v>0.58662382021067772</v>
      </c>
    </row>
    <row r="53" spans="1:87" s="9" customFormat="1" x14ac:dyDescent="0.25">
      <c r="A53" s="4"/>
      <c r="B53" s="4"/>
      <c r="C53" s="53" t="s">
        <v>50</v>
      </c>
      <c r="D53" s="56">
        <f>D36/D54</f>
        <v>706.89695443095945</v>
      </c>
      <c r="E53" s="56">
        <f>(E36*1000000)/E54</f>
        <v>439.32858910890991</v>
      </c>
      <c r="F53" s="56">
        <f>(F36*1000000)/F54</f>
        <v>118.22438478747279</v>
      </c>
      <c r="G53" s="56">
        <f>(G36*1000000)/G54</f>
        <v>199.35451677852342</v>
      </c>
      <c r="H53" s="30">
        <f t="shared" si="21"/>
        <v>81.130131991050632</v>
      </c>
      <c r="I53" s="56">
        <f>(I36*1000000)/I54</f>
        <v>575.24487971762846</v>
      </c>
      <c r="J53" s="56"/>
      <c r="K53" s="56">
        <f t="shared" ref="K53:N53" si="26">K36/K54</f>
        <v>297.35608974857877</v>
      </c>
      <c r="L53" s="144">
        <f>K53-I53</f>
        <v>-277.8887899690497</v>
      </c>
      <c r="M53" s="56">
        <f t="shared" si="26"/>
        <v>258.83612291140759</v>
      </c>
      <c r="N53" s="56">
        <f t="shared" si="26"/>
        <v>305.26022910364696</v>
      </c>
      <c r="O53" s="53"/>
      <c r="P53" s="53"/>
      <c r="Q53" s="53"/>
      <c r="R53" s="53"/>
      <c r="S53" s="30">
        <f>I53-F53</f>
        <v>457.02049493015568</v>
      </c>
      <c r="T53" s="30">
        <f>I53-E53</f>
        <v>135.91629060871855</v>
      </c>
    </row>
    <row r="54" spans="1:87" s="9" customFormat="1" x14ac:dyDescent="0.25">
      <c r="C54" s="53" t="s">
        <v>51</v>
      </c>
      <c r="D54" s="56">
        <v>4367</v>
      </c>
      <c r="E54" s="56">
        <v>4444</v>
      </c>
      <c r="F54" s="56">
        <v>4470</v>
      </c>
      <c r="G54" s="56">
        <v>4470</v>
      </c>
      <c r="H54" s="30">
        <f t="shared" si="21"/>
        <v>0</v>
      </c>
      <c r="I54" s="56">
        <v>4500</v>
      </c>
      <c r="J54" s="56"/>
      <c r="K54" s="56">
        <f>I54+40</f>
        <v>4540</v>
      </c>
      <c r="L54" s="145">
        <f>K54-I54</f>
        <v>40</v>
      </c>
      <c r="M54" s="56">
        <f>K54+40</f>
        <v>4580</v>
      </c>
      <c r="N54" s="56">
        <f>M54+40</f>
        <v>4620</v>
      </c>
      <c r="O54" s="53"/>
      <c r="P54" s="53"/>
      <c r="Q54" s="53"/>
      <c r="R54" s="53"/>
      <c r="S54" s="30">
        <f t="shared" si="23"/>
        <v>30</v>
      </c>
      <c r="T54" s="30">
        <f t="shared" si="25"/>
        <v>56</v>
      </c>
    </row>
    <row r="55" spans="1:87" s="9" customFormat="1" x14ac:dyDescent="0.25">
      <c r="C55" s="5"/>
      <c r="D55" s="5"/>
      <c r="E55" s="5"/>
      <c r="F55" s="5"/>
      <c r="G55" s="5"/>
      <c r="H55" s="5"/>
      <c r="I55" s="5"/>
      <c r="J55" s="5"/>
      <c r="K55" s="5"/>
      <c r="L55" s="5"/>
      <c r="M55" s="5"/>
      <c r="N55" s="5"/>
      <c r="O55" s="5"/>
      <c r="P55" s="5"/>
      <c r="Q55" s="5"/>
      <c r="R55" s="5"/>
      <c r="S55" s="5"/>
      <c r="T55" s="5"/>
    </row>
    <row r="56" spans="1:87" s="9" customFormat="1" x14ac:dyDescent="0.25">
      <c r="C56" s="5"/>
      <c r="D56" s="5"/>
      <c r="E56" s="5"/>
      <c r="F56" s="53"/>
      <c r="G56" s="5"/>
      <c r="H56" s="5"/>
      <c r="I56" s="5"/>
      <c r="J56" s="5"/>
      <c r="K56" s="5"/>
      <c r="L56" s="5"/>
      <c r="M56" s="5"/>
      <c r="N56" s="5"/>
      <c r="O56" s="5"/>
      <c r="P56" s="5"/>
      <c r="Q56" s="5"/>
      <c r="R56" s="5"/>
      <c r="S56" s="5"/>
      <c r="T56" s="5"/>
    </row>
    <row r="57" spans="1:87" s="9" customFormat="1" hidden="1" x14ac:dyDescent="0.25">
      <c r="C57" s="5" t="s">
        <v>52</v>
      </c>
      <c r="D57" s="18" t="s">
        <v>53</v>
      </c>
      <c r="E57" s="5"/>
      <c r="F57" s="53"/>
      <c r="G57" s="5"/>
      <c r="H57" s="5"/>
      <c r="I57" s="5"/>
      <c r="J57" s="5"/>
      <c r="K57" s="5"/>
      <c r="L57" s="5"/>
      <c r="M57" s="5"/>
      <c r="N57" s="5"/>
      <c r="O57" s="5"/>
      <c r="P57" s="5"/>
      <c r="Q57" s="5"/>
      <c r="R57" s="5"/>
      <c r="S57" s="5"/>
      <c r="T57" s="5"/>
    </row>
    <row r="58" spans="1:87" s="9" customFormat="1" hidden="1" x14ac:dyDescent="0.25">
      <c r="C58" s="5" t="s">
        <v>19</v>
      </c>
      <c r="D58" s="13">
        <f>K27</f>
        <v>11042933.647458548</v>
      </c>
      <c r="E58" s="13"/>
      <c r="F58" s="53"/>
      <c r="G58" s="5"/>
      <c r="H58" s="5"/>
      <c r="I58" s="5"/>
      <c r="J58" s="5"/>
      <c r="K58" s="5" t="s">
        <v>54</v>
      </c>
      <c r="L58" s="5"/>
      <c r="M58" s="5"/>
      <c r="N58" s="5"/>
      <c r="O58" s="5"/>
      <c r="P58" s="5"/>
      <c r="Q58" s="5"/>
      <c r="R58" s="5"/>
      <c r="S58" s="5"/>
      <c r="T58" s="5"/>
    </row>
    <row r="59" spans="1:87" s="9" customFormat="1" hidden="1" x14ac:dyDescent="0.25">
      <c r="C59" s="5" t="s">
        <v>20</v>
      </c>
      <c r="D59" s="13">
        <f>K28</f>
        <v>2638164</v>
      </c>
      <c r="E59" s="13"/>
      <c r="F59" s="53"/>
      <c r="G59" s="5"/>
      <c r="H59" s="5"/>
      <c r="I59" s="5"/>
      <c r="J59" s="5"/>
      <c r="K59" s="5">
        <v>2273796.4300000002</v>
      </c>
      <c r="L59" s="5"/>
      <c r="M59" s="13">
        <f>SUM(I47:N47)</f>
        <v>-1474577.1027419528</v>
      </c>
      <c r="N59" s="13">
        <f>M59+K59</f>
        <v>799219.32725804741</v>
      </c>
      <c r="O59" s="5"/>
      <c r="P59" s="5"/>
      <c r="Q59" s="5"/>
      <c r="R59" s="5"/>
      <c r="S59" s="5"/>
      <c r="T59" s="5"/>
    </row>
    <row r="60" spans="1:87" s="9" customFormat="1" hidden="1" x14ac:dyDescent="0.25">
      <c r="C60" s="5" t="s">
        <v>55</v>
      </c>
      <c r="D60" s="13">
        <f>K34</f>
        <v>-147483</v>
      </c>
      <c r="E60" s="13"/>
      <c r="F60" s="53"/>
      <c r="G60" s="5"/>
      <c r="H60" s="5"/>
      <c r="I60" s="5"/>
      <c r="J60" s="5"/>
      <c r="K60" s="5"/>
      <c r="L60" s="5"/>
      <c r="M60" s="5"/>
      <c r="N60" s="5"/>
      <c r="O60" s="5"/>
      <c r="P60" s="5"/>
      <c r="Q60" s="5"/>
      <c r="R60" s="5"/>
      <c r="S60" s="5"/>
      <c r="T60" s="5"/>
    </row>
    <row r="61" spans="1:87" s="9" customFormat="1" hidden="1" x14ac:dyDescent="0.25">
      <c r="C61" s="5" t="s">
        <v>30</v>
      </c>
      <c r="D61" s="5">
        <v>0</v>
      </c>
      <c r="E61" s="5"/>
      <c r="F61" s="53"/>
      <c r="G61" s="5"/>
      <c r="H61" s="5"/>
      <c r="I61" s="5"/>
      <c r="J61" s="5"/>
      <c r="K61" s="5"/>
      <c r="L61" s="5"/>
      <c r="M61" s="5"/>
      <c r="N61" s="5"/>
      <c r="O61" s="5"/>
      <c r="P61" s="5"/>
      <c r="Q61" s="5"/>
      <c r="R61" s="5"/>
      <c r="S61" s="5"/>
      <c r="T61" s="5"/>
    </row>
    <row r="62" spans="1:87" s="9" customFormat="1" hidden="1" x14ac:dyDescent="0.25">
      <c r="C62" s="5" t="s">
        <v>56</v>
      </c>
      <c r="D62" s="13">
        <f>K43</f>
        <v>0</v>
      </c>
      <c r="E62" s="13"/>
      <c r="F62" s="53"/>
      <c r="G62" s="5"/>
      <c r="H62" s="5"/>
      <c r="I62" s="5"/>
      <c r="J62" s="5"/>
      <c r="K62" s="5"/>
      <c r="L62" s="5"/>
      <c r="M62" s="5"/>
      <c r="N62" s="5"/>
      <c r="O62" s="5"/>
      <c r="P62" s="5"/>
      <c r="Q62" s="5"/>
      <c r="R62" s="5"/>
      <c r="S62" s="5"/>
      <c r="T62" s="5"/>
    </row>
    <row r="63" spans="1:87" s="9" customFormat="1" x14ac:dyDescent="0.25">
      <c r="A63" s="53"/>
      <c r="B63" s="53"/>
      <c r="C63" s="53"/>
      <c r="D63" s="53"/>
      <c r="E63" s="53"/>
      <c r="F63" s="53"/>
      <c r="G63" s="5"/>
      <c r="H63" s="5"/>
      <c r="I63" s="5"/>
      <c r="J63" s="5"/>
      <c r="K63" s="5"/>
      <c r="L63" s="5"/>
      <c r="M63" s="5"/>
      <c r="N63" s="5"/>
      <c r="O63" s="5"/>
      <c r="P63" s="5"/>
      <c r="Q63" s="5"/>
      <c r="R63" s="5"/>
      <c r="S63" s="5"/>
      <c r="T63" s="5"/>
    </row>
    <row r="64" spans="1:87" s="53" customFormat="1" x14ac:dyDescent="0.25">
      <c r="C64" s="147" t="s">
        <v>65</v>
      </c>
    </row>
    <row r="65" spans="1:24" s="9" customFormat="1" x14ac:dyDescent="0.25">
      <c r="A65" s="53"/>
      <c r="B65" s="53"/>
      <c r="C65" s="148">
        <f>I47</f>
        <v>1.228976158729328</v>
      </c>
      <c r="D65" s="53"/>
      <c r="E65" s="53" t="s">
        <v>70</v>
      </c>
      <c r="F65" s="53"/>
      <c r="G65" s="5"/>
      <c r="H65" s="5"/>
      <c r="I65" s="19"/>
      <c r="J65" s="19"/>
      <c r="K65" s="19"/>
      <c r="L65" s="19"/>
      <c r="M65" s="19"/>
      <c r="N65" s="19"/>
      <c r="O65" s="19"/>
      <c r="P65" s="19"/>
      <c r="Q65" s="19"/>
      <c r="R65" s="19"/>
      <c r="S65" s="19"/>
      <c r="T65" s="19"/>
      <c r="U65" s="15"/>
    </row>
    <row r="66" spans="1:24" s="9" customFormat="1" x14ac:dyDescent="0.25">
      <c r="A66" s="53"/>
      <c r="B66" s="53"/>
      <c r="C66" s="53"/>
      <c r="D66" s="53"/>
      <c r="E66" s="53"/>
      <c r="F66" s="53"/>
      <c r="G66" s="5"/>
      <c r="H66" s="5"/>
      <c r="I66" s="19"/>
      <c r="J66" s="19"/>
      <c r="K66" s="19"/>
      <c r="L66" s="19"/>
      <c r="M66" s="19"/>
      <c r="N66" s="19"/>
      <c r="O66" s="19"/>
      <c r="P66" s="19"/>
      <c r="Q66" s="19"/>
      <c r="R66" s="19"/>
      <c r="S66" s="19"/>
      <c r="T66" s="19"/>
      <c r="U66" s="15"/>
    </row>
    <row r="67" spans="1:24" s="53" customFormat="1" x14ac:dyDescent="0.25">
      <c r="C67" s="147" t="s">
        <v>68</v>
      </c>
      <c r="I67" s="99"/>
      <c r="J67" s="99"/>
      <c r="K67" s="99"/>
      <c r="L67" s="99"/>
      <c r="M67" s="99"/>
      <c r="N67" s="99"/>
      <c r="O67" s="99"/>
      <c r="P67" s="99"/>
      <c r="Q67" s="99"/>
      <c r="R67" s="99"/>
      <c r="S67" s="99"/>
      <c r="T67" s="99"/>
      <c r="U67" s="99"/>
    </row>
    <row r="68" spans="1:24" s="9" customFormat="1" x14ac:dyDescent="0.25">
      <c r="A68" s="53"/>
      <c r="B68" s="53"/>
      <c r="C68" s="149">
        <f>T25/E25</f>
        <v>7.0569367665029498E-2</v>
      </c>
      <c r="D68" s="53"/>
      <c r="E68" s="53"/>
      <c r="F68" s="53"/>
      <c r="G68" s="5"/>
      <c r="H68" s="5"/>
      <c r="I68" s="19"/>
      <c r="J68" s="19"/>
      <c r="K68" s="19"/>
      <c r="L68" s="19"/>
      <c r="M68" s="19"/>
      <c r="N68" s="19"/>
      <c r="O68" s="19"/>
      <c r="P68" s="19"/>
      <c r="Q68" s="19"/>
      <c r="R68" s="19"/>
      <c r="S68" s="19"/>
      <c r="T68" s="19"/>
      <c r="U68" s="15"/>
      <c r="W68" s="14"/>
      <c r="X68" s="14"/>
    </row>
    <row r="69" spans="1:24" s="9" customFormat="1" x14ac:dyDescent="0.25">
      <c r="A69" s="53"/>
      <c r="B69" s="53"/>
      <c r="C69" s="53"/>
      <c r="D69" s="53"/>
      <c r="E69" s="53"/>
      <c r="F69" s="53"/>
      <c r="G69" s="5"/>
      <c r="H69" s="5"/>
      <c r="I69" s="5"/>
      <c r="J69" s="5"/>
      <c r="K69" s="5"/>
      <c r="L69" s="5"/>
      <c r="M69" s="5"/>
      <c r="N69" s="5"/>
      <c r="O69" s="5"/>
      <c r="P69" s="5"/>
      <c r="Q69" s="5"/>
      <c r="R69" s="5"/>
      <c r="S69" s="5"/>
      <c r="T69" s="5"/>
    </row>
    <row r="70" spans="1:24" s="53" customFormat="1" x14ac:dyDescent="0.25">
      <c r="C70" s="147" t="s">
        <v>69</v>
      </c>
    </row>
    <row r="71" spans="1:24" s="9" customFormat="1" x14ac:dyDescent="0.25">
      <c r="A71" s="53"/>
      <c r="B71" s="53"/>
      <c r="C71" s="149">
        <f>SUM(T27:T28)/SUM(F27:F28)</f>
        <v>5.8173124650436892E-2</v>
      </c>
      <c r="D71" s="53"/>
      <c r="E71" s="56"/>
      <c r="F71" s="56"/>
      <c r="G71" s="5"/>
      <c r="H71" s="5"/>
      <c r="I71" s="5"/>
      <c r="J71" s="5"/>
      <c r="K71" s="5"/>
      <c r="L71" s="5"/>
      <c r="M71" s="5"/>
      <c r="N71" s="5"/>
      <c r="O71" s="5"/>
      <c r="P71" s="5"/>
      <c r="Q71" s="5"/>
      <c r="R71" s="5"/>
      <c r="S71" s="5"/>
      <c r="T71" s="5"/>
    </row>
    <row r="72" spans="1:24" s="9" customFormat="1" x14ac:dyDescent="0.25">
      <c r="A72" s="53"/>
      <c r="B72" s="53"/>
      <c r="C72" s="53"/>
      <c r="D72" s="53"/>
      <c r="E72" s="53"/>
      <c r="F72" s="53"/>
    </row>
    <row r="73" spans="1:24" s="9" customFormat="1" x14ac:dyDescent="0.25"/>
    <row r="74" spans="1:24" s="9" customFormat="1" x14ac:dyDescent="0.25"/>
    <row r="75" spans="1:24" s="9" customFormat="1" x14ac:dyDescent="0.25"/>
    <row r="76" spans="1:24" s="9" customFormat="1" x14ac:dyDescent="0.25"/>
    <row r="77" spans="1:24" s="9" customFormat="1" x14ac:dyDescent="0.25"/>
    <row r="78" spans="1:24" s="9" customFormat="1" x14ac:dyDescent="0.25"/>
    <row r="79" spans="1:24" s="9" customFormat="1" x14ac:dyDescent="0.25"/>
    <row r="80" spans="1:24" s="9" customFormat="1" x14ac:dyDescent="0.25"/>
    <row r="81" s="9" customFormat="1" x14ac:dyDescent="0.25"/>
    <row r="82" s="9" customFormat="1" x14ac:dyDescent="0.25"/>
    <row r="83" s="9" customFormat="1" x14ac:dyDescent="0.25"/>
    <row r="84" s="9" customFormat="1" x14ac:dyDescent="0.25"/>
    <row r="85" s="9" customFormat="1" x14ac:dyDescent="0.25"/>
    <row r="86" s="9" customFormat="1" x14ac:dyDescent="0.25"/>
    <row r="87" s="9" customFormat="1" x14ac:dyDescent="0.25"/>
    <row r="88" s="9" customFormat="1" x14ac:dyDescent="0.25"/>
    <row r="89" s="9" customFormat="1" x14ac:dyDescent="0.25"/>
    <row r="90" s="9" customFormat="1" x14ac:dyDescent="0.25"/>
    <row r="91" s="9" customFormat="1" x14ac:dyDescent="0.25"/>
    <row r="92" s="9" customFormat="1" x14ac:dyDescent="0.25"/>
    <row r="93" s="9" customFormat="1" x14ac:dyDescent="0.25"/>
    <row r="94" s="9" customFormat="1" x14ac:dyDescent="0.25"/>
    <row r="95" s="9" customFormat="1" x14ac:dyDescent="0.25"/>
    <row r="96" s="9" customFormat="1" x14ac:dyDescent="0.25"/>
    <row r="97" s="9" customFormat="1" x14ac:dyDescent="0.25"/>
    <row r="98" s="9" customFormat="1" x14ac:dyDescent="0.25"/>
    <row r="99" s="9" customFormat="1" x14ac:dyDescent="0.25"/>
    <row r="100" s="9" customFormat="1" x14ac:dyDescent="0.25"/>
    <row r="101" s="9" customFormat="1" x14ac:dyDescent="0.25"/>
    <row r="102" s="9" customFormat="1" x14ac:dyDescent="0.25"/>
    <row r="103" s="9" customFormat="1" x14ac:dyDescent="0.25"/>
    <row r="104" s="9" customFormat="1" x14ac:dyDescent="0.25"/>
    <row r="105" s="9" customFormat="1" x14ac:dyDescent="0.25"/>
    <row r="106" s="9" customFormat="1" x14ac:dyDescent="0.25"/>
    <row r="107" s="9" customFormat="1" x14ac:dyDescent="0.25"/>
    <row r="108" s="9" customFormat="1" x14ac:dyDescent="0.25"/>
    <row r="109" s="9" customFormat="1" x14ac:dyDescent="0.25"/>
    <row r="110" s="9" customFormat="1" x14ac:dyDescent="0.25"/>
    <row r="111" s="9" customFormat="1" x14ac:dyDescent="0.25"/>
    <row r="112" s="9" customFormat="1" x14ac:dyDescent="0.25"/>
    <row r="113" s="9" customFormat="1" x14ac:dyDescent="0.25"/>
    <row r="114" s="9" customFormat="1" x14ac:dyDescent="0.25"/>
    <row r="115" s="9" customFormat="1" x14ac:dyDescent="0.25"/>
    <row r="116" s="9" customFormat="1" x14ac:dyDescent="0.25"/>
    <row r="117" s="9" customFormat="1" x14ac:dyDescent="0.25"/>
    <row r="118" s="9" customFormat="1" x14ac:dyDescent="0.25"/>
    <row r="119" s="9" customFormat="1" x14ac:dyDescent="0.25"/>
    <row r="120" s="9" customFormat="1" x14ac:dyDescent="0.25"/>
    <row r="121" s="9" customFormat="1" x14ac:dyDescent="0.25"/>
    <row r="122" s="9" customFormat="1" x14ac:dyDescent="0.25"/>
    <row r="123" s="9" customFormat="1" x14ac:dyDescent="0.25"/>
    <row r="124" s="9" customFormat="1" x14ac:dyDescent="0.25"/>
    <row r="125" s="9" customFormat="1" x14ac:dyDescent="0.25"/>
    <row r="126" s="9" customFormat="1" x14ac:dyDescent="0.25"/>
    <row r="127" s="9" customFormat="1" x14ac:dyDescent="0.25"/>
    <row r="128" s="9" customFormat="1" x14ac:dyDescent="0.25"/>
    <row r="129" s="9" customFormat="1" x14ac:dyDescent="0.25"/>
    <row r="130" s="9" customFormat="1" x14ac:dyDescent="0.25"/>
    <row r="131" s="9" customFormat="1" x14ac:dyDescent="0.25"/>
    <row r="132" s="9" customFormat="1" x14ac:dyDescent="0.25"/>
    <row r="133" s="9" customFormat="1" x14ac:dyDescent="0.25"/>
    <row r="134" s="9" customFormat="1" x14ac:dyDescent="0.25"/>
    <row r="135" s="9" customFormat="1" x14ac:dyDescent="0.25"/>
    <row r="136" s="9" customFormat="1" x14ac:dyDescent="0.25"/>
    <row r="137" s="9" customFormat="1" x14ac:dyDescent="0.25"/>
    <row r="138" s="9" customFormat="1" x14ac:dyDescent="0.25"/>
    <row r="139" s="9" customFormat="1" x14ac:dyDescent="0.25"/>
    <row r="140" s="9" customFormat="1" x14ac:dyDescent="0.25"/>
    <row r="141" s="9" customFormat="1" x14ac:dyDescent="0.25"/>
    <row r="142" s="9" customFormat="1" x14ac:dyDescent="0.25"/>
    <row r="143" s="9" customFormat="1" x14ac:dyDescent="0.25"/>
    <row r="144" s="9" customFormat="1" x14ac:dyDescent="0.25"/>
    <row r="145" s="9" customFormat="1" x14ac:dyDescent="0.25"/>
    <row r="146" s="9" customFormat="1" x14ac:dyDescent="0.25"/>
    <row r="147" s="9" customFormat="1" x14ac:dyDescent="0.25"/>
    <row r="148" s="9" customFormat="1" x14ac:dyDescent="0.25"/>
    <row r="149" s="9" customFormat="1" x14ac:dyDescent="0.25"/>
    <row r="150" s="9" customFormat="1" x14ac:dyDescent="0.25"/>
    <row r="151" s="9" customFormat="1" x14ac:dyDescent="0.25"/>
    <row r="152" s="9" customFormat="1" x14ac:dyDescent="0.25"/>
    <row r="153" s="9" customFormat="1" x14ac:dyDescent="0.25"/>
    <row r="154" s="9" customFormat="1" x14ac:dyDescent="0.25"/>
    <row r="155" s="9" customFormat="1" x14ac:dyDescent="0.25"/>
    <row r="156" s="9" customFormat="1" x14ac:dyDescent="0.25"/>
    <row r="157" s="9" customFormat="1" x14ac:dyDescent="0.25"/>
    <row r="158" s="9" customFormat="1" x14ac:dyDescent="0.25"/>
    <row r="159" s="9" customFormat="1" x14ac:dyDescent="0.25"/>
    <row r="160" s="9" customFormat="1" x14ac:dyDescent="0.25"/>
    <row r="161" s="9" customFormat="1" x14ac:dyDescent="0.25"/>
    <row r="162" s="9" customFormat="1" x14ac:dyDescent="0.25"/>
    <row r="163" s="9" customFormat="1" x14ac:dyDescent="0.25"/>
    <row r="164" s="9" customFormat="1" x14ac:dyDescent="0.25"/>
    <row r="165" s="9" customFormat="1" x14ac:dyDescent="0.25"/>
    <row r="166" s="9" customFormat="1" x14ac:dyDescent="0.25"/>
    <row r="167" s="9" customFormat="1" x14ac:dyDescent="0.25"/>
    <row r="168" s="9" customFormat="1" x14ac:dyDescent="0.25"/>
    <row r="169" s="9" customFormat="1" x14ac:dyDescent="0.25"/>
    <row r="170" s="9" customFormat="1" x14ac:dyDescent="0.25"/>
    <row r="171" s="9" customFormat="1" x14ac:dyDescent="0.25"/>
    <row r="172" s="9" customFormat="1" x14ac:dyDescent="0.25"/>
    <row r="173" s="9" customFormat="1" x14ac:dyDescent="0.25"/>
    <row r="174" s="9" customFormat="1" x14ac:dyDescent="0.25"/>
    <row r="175" s="9" customFormat="1" x14ac:dyDescent="0.25"/>
    <row r="176" s="9" customFormat="1" x14ac:dyDescent="0.25"/>
    <row r="177" s="9" customFormat="1" x14ac:dyDescent="0.25"/>
    <row r="178" s="9" customFormat="1" x14ac:dyDescent="0.25"/>
    <row r="179" s="9" customFormat="1" x14ac:dyDescent="0.25"/>
    <row r="180" s="9" customFormat="1" x14ac:dyDescent="0.25"/>
    <row r="181" s="9" customFormat="1" x14ac:dyDescent="0.25"/>
    <row r="182" s="9" customFormat="1" x14ac:dyDescent="0.25"/>
    <row r="183" s="9" customFormat="1" x14ac:dyDescent="0.25"/>
    <row r="184" s="9" customFormat="1" x14ac:dyDescent="0.25"/>
    <row r="185" s="9" customFormat="1" x14ac:dyDescent="0.25"/>
    <row r="186" s="9" customFormat="1" x14ac:dyDescent="0.25"/>
    <row r="187" s="9" customFormat="1" x14ac:dyDescent="0.25"/>
    <row r="188" s="9" customFormat="1" x14ac:dyDescent="0.25"/>
    <row r="189" s="9" customFormat="1" x14ac:dyDescent="0.25"/>
    <row r="190" s="9" customFormat="1" x14ac:dyDescent="0.25"/>
    <row r="191" s="9" customFormat="1" x14ac:dyDescent="0.25"/>
    <row r="192" s="9" customFormat="1" x14ac:dyDescent="0.25"/>
    <row r="193" s="9" customFormat="1" x14ac:dyDescent="0.25"/>
    <row r="194" s="9" customFormat="1" x14ac:dyDescent="0.25"/>
    <row r="195" s="9" customFormat="1" x14ac:dyDescent="0.25"/>
    <row r="196" s="9" customFormat="1" x14ac:dyDescent="0.25"/>
    <row r="197" s="9" customFormat="1" x14ac:dyDescent="0.25"/>
    <row r="198" s="9" customFormat="1" x14ac:dyDescent="0.25"/>
    <row r="199" s="9" customFormat="1" x14ac:dyDescent="0.25"/>
    <row r="200" s="9" customFormat="1" x14ac:dyDescent="0.25"/>
    <row r="201" s="9" customFormat="1" x14ac:dyDescent="0.25"/>
    <row r="202" s="9" customFormat="1" x14ac:dyDescent="0.25"/>
    <row r="203" s="9" customFormat="1" x14ac:dyDescent="0.25"/>
  </sheetData>
  <conditionalFormatting sqref="S8">
    <cfRule type="dataBar" priority="3">
      <dataBar>
        <cfvo type="min"/>
        <cfvo type="max"/>
        <color rgb="FF63C384"/>
      </dataBar>
      <extLst>
        <ext xmlns:x14="http://schemas.microsoft.com/office/spreadsheetml/2009/9/main" uri="{B025F937-C7B1-47D3-B67F-A62EFF666E3E}">
          <x14:id>{23956389-AF31-4C24-B96A-367BD0C4F584}</x14:id>
        </ext>
      </extLst>
    </cfRule>
  </conditionalFormatting>
  <conditionalFormatting sqref="S9:S11">
    <cfRule type="dataBar" priority="2">
      <dataBar>
        <cfvo type="min"/>
        <cfvo type="max"/>
        <color rgb="FF63C384"/>
      </dataBar>
      <extLst>
        <ext xmlns:x14="http://schemas.microsoft.com/office/spreadsheetml/2009/9/main" uri="{B025F937-C7B1-47D3-B67F-A62EFF666E3E}">
          <x14:id>{DC841DCD-7AE0-46EE-99D0-8229AA236C8E}</x14:id>
        </ext>
      </extLst>
    </cfRule>
  </conditionalFormatting>
  <printOptions gridLines="1"/>
  <pageMargins left="0.75" right="0.25" top="0.5" bottom="0.25" header="0.3" footer="0.3"/>
  <pageSetup paperSize="9" orientation="portrait" r:id="rId1"/>
  <ignoredErrors>
    <ignoredError sqref="H51:H53" formula="1"/>
  </ignoredErrors>
  <legacyDrawing r:id="rId2"/>
  <extLst>
    <ext xmlns:x14="http://schemas.microsoft.com/office/spreadsheetml/2009/9/main" uri="{78C0D931-6437-407d-A8EE-F0AAD7539E65}">
      <x14:conditionalFormattings>
        <x14:conditionalFormatting xmlns:xm="http://schemas.microsoft.com/office/excel/2006/main">
          <x14:cfRule type="dataBar" id="{23956389-AF31-4C24-B96A-367BD0C4F584}">
            <x14:dataBar minLength="0" maxLength="100" gradient="0">
              <x14:cfvo type="autoMin"/>
              <x14:cfvo type="autoMax"/>
              <x14:negativeFillColor rgb="FFFF0000"/>
              <x14:axisColor rgb="FF000000"/>
            </x14:dataBar>
          </x14:cfRule>
          <xm:sqref>S8</xm:sqref>
        </x14:conditionalFormatting>
        <x14:conditionalFormatting xmlns:xm="http://schemas.microsoft.com/office/excel/2006/main">
          <x14:cfRule type="dataBar" id="{DC841DCD-7AE0-46EE-99D0-8229AA236C8E}">
            <x14:dataBar minLength="0" maxLength="100" gradient="0">
              <x14:cfvo type="autoMin"/>
              <x14:cfvo type="autoMax"/>
              <x14:negativeFillColor rgb="FFFF0000"/>
              <x14:axisColor rgb="FF000000"/>
            </x14:dataBar>
          </x14:cfRule>
          <xm:sqref>S9:S11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37E20-580A-403A-AAAE-06ABE28CDCF8}">
  <dimension ref="A1:Y207"/>
  <sheetViews>
    <sheetView zoomScaleNormal="100" workbookViewId="0">
      <selection activeCell="H4" sqref="H4"/>
    </sheetView>
  </sheetViews>
  <sheetFormatPr defaultColWidth="9.140625" defaultRowHeight="15" x14ac:dyDescent="0.25"/>
  <cols>
    <col min="1" max="1" width="3.42578125" style="100" customWidth="1"/>
    <col min="2" max="2" width="32.85546875" style="1" customWidth="1"/>
    <col min="3" max="3" width="13.28515625" style="1" hidden="1" customWidth="1"/>
    <col min="4" max="8" width="11.7109375" style="1" customWidth="1"/>
    <col min="9" max="9" width="8.5703125" style="1" customWidth="1"/>
    <col min="10" max="12" width="13.28515625" style="1" hidden="1" customWidth="1"/>
    <col min="13" max="13" width="14.28515625" style="1" hidden="1" customWidth="1"/>
    <col min="14" max="14" width="0" style="1" hidden="1" customWidth="1"/>
    <col min="15" max="15" width="18.5703125" style="1" hidden="1" customWidth="1"/>
    <col min="16" max="16" width="0" style="1" hidden="1" customWidth="1"/>
    <col min="17" max="17" width="10.5703125" style="1" hidden="1" customWidth="1"/>
    <col min="18" max="18" width="13.140625" style="1" customWidth="1"/>
    <col min="19" max="19" width="8.85546875" style="100" bestFit="1" customWidth="1"/>
    <col min="20" max="25" width="9.140625" style="100"/>
    <col min="26" max="16384" width="9.140625" style="1"/>
  </cols>
  <sheetData>
    <row r="1" spans="1:25" s="100" customFormat="1" x14ac:dyDescent="0.25"/>
    <row r="2" spans="1:25" s="100" customFormat="1" x14ac:dyDescent="0.25">
      <c r="B2" s="102" t="s">
        <v>0</v>
      </c>
      <c r="E2" s="102" t="s">
        <v>34</v>
      </c>
      <c r="M2" s="103"/>
    </row>
    <row r="3" spans="1:25" s="100" customFormat="1" x14ac:dyDescent="0.25">
      <c r="B3" s="102" t="s">
        <v>35</v>
      </c>
      <c r="E3" s="102"/>
      <c r="H3" s="131" t="s">
        <v>76</v>
      </c>
      <c r="I3" s="104"/>
      <c r="J3" s="105"/>
    </row>
    <row r="4" spans="1:25" s="100" customFormat="1" x14ac:dyDescent="0.25">
      <c r="B4" s="102"/>
      <c r="E4" s="102"/>
      <c r="H4" s="104"/>
      <c r="I4" s="104"/>
      <c r="J4" s="105"/>
    </row>
    <row r="5" spans="1:25" ht="29.25" customHeight="1" x14ac:dyDescent="0.25">
      <c r="B5" s="35" t="s">
        <v>67</v>
      </c>
      <c r="C5" s="36" t="s">
        <v>36</v>
      </c>
      <c r="D5" s="36" t="s">
        <v>1</v>
      </c>
      <c r="E5" s="36" t="s">
        <v>37</v>
      </c>
      <c r="F5" s="36" t="s">
        <v>72</v>
      </c>
      <c r="G5" s="36" t="s">
        <v>57</v>
      </c>
      <c r="H5" s="36" t="s">
        <v>38</v>
      </c>
      <c r="I5" s="36"/>
      <c r="J5" s="36" t="s">
        <v>39</v>
      </c>
      <c r="K5" s="36" t="s">
        <v>40</v>
      </c>
      <c r="L5" s="36" t="s">
        <v>41</v>
      </c>
      <c r="M5" s="36" t="s">
        <v>42</v>
      </c>
      <c r="N5" s="112"/>
      <c r="O5" s="112"/>
      <c r="P5" s="112"/>
      <c r="Q5" s="112"/>
      <c r="R5" s="77" t="s">
        <v>58</v>
      </c>
    </row>
    <row r="6" spans="1:25" s="2" customFormat="1" ht="15" customHeight="1" x14ac:dyDescent="0.25">
      <c r="A6" s="100"/>
      <c r="B6" s="37"/>
      <c r="C6" s="38"/>
      <c r="D6" s="38"/>
      <c r="E6" s="38"/>
      <c r="F6" s="38"/>
      <c r="G6" s="38"/>
      <c r="H6" s="75"/>
      <c r="I6" s="38"/>
      <c r="J6" s="38"/>
      <c r="K6" s="38"/>
      <c r="L6" s="38"/>
      <c r="M6" s="38"/>
      <c r="N6" s="50"/>
      <c r="O6" s="113"/>
      <c r="P6" s="50"/>
      <c r="Q6" s="50"/>
      <c r="R6" s="40"/>
      <c r="S6" s="100"/>
      <c r="T6" s="100"/>
      <c r="U6" s="100"/>
      <c r="V6" s="100"/>
      <c r="W6" s="100"/>
      <c r="X6" s="100"/>
      <c r="Y6" s="100"/>
    </row>
    <row r="7" spans="1:25" s="3" customFormat="1" x14ac:dyDescent="0.25">
      <c r="A7" s="101"/>
      <c r="B7" s="39" t="s">
        <v>2</v>
      </c>
      <c r="C7" s="40"/>
      <c r="D7" s="40"/>
      <c r="E7" s="40"/>
      <c r="F7" s="40"/>
      <c r="G7" s="40"/>
      <c r="H7" s="76"/>
      <c r="I7" s="40"/>
      <c r="J7" s="40"/>
      <c r="K7" s="64"/>
      <c r="L7" s="80"/>
      <c r="M7" s="40"/>
      <c r="N7" s="114"/>
      <c r="O7" s="114"/>
      <c r="P7" s="114"/>
      <c r="Q7" s="114"/>
      <c r="R7" s="40"/>
      <c r="S7" s="101"/>
      <c r="T7" s="101"/>
      <c r="U7" s="101"/>
      <c r="V7" s="101"/>
      <c r="W7" s="101"/>
      <c r="X7" s="101"/>
      <c r="Y7" s="101"/>
    </row>
    <row r="8" spans="1:25" x14ac:dyDescent="0.25">
      <c r="B8" s="41" t="s">
        <v>3</v>
      </c>
      <c r="C8" s="42">
        <v>2566252</v>
      </c>
      <c r="D8" s="43">
        <v>2024120.76</v>
      </c>
      <c r="E8" s="42">
        <v>1985881</v>
      </c>
      <c r="F8" s="43">
        <v>903516.78</v>
      </c>
      <c r="G8" s="43">
        <f>F8-E8</f>
        <v>-1082364.22</v>
      </c>
      <c r="H8" s="73">
        <v>2076533.56</v>
      </c>
      <c r="I8" s="43"/>
      <c r="J8" s="43">
        <v>1474152</v>
      </c>
      <c r="K8" s="65">
        <v>6.3</v>
      </c>
      <c r="L8" s="43">
        <f>J8</f>
        <v>1474152</v>
      </c>
      <c r="M8" s="43">
        <f>L8</f>
        <v>1474152</v>
      </c>
      <c r="N8" s="50"/>
      <c r="O8" s="47">
        <f>J8-E8</f>
        <v>-511729</v>
      </c>
      <c r="P8" s="50"/>
      <c r="Q8" s="115">
        <f>O8/E8</f>
        <v>-0.25768361749772517</v>
      </c>
      <c r="R8" s="116">
        <f>H8-E8</f>
        <v>90652.560000000056</v>
      </c>
    </row>
    <row r="9" spans="1:25" x14ac:dyDescent="0.25">
      <c r="B9" s="41" t="s">
        <v>4</v>
      </c>
      <c r="C9" s="42">
        <v>478337</v>
      </c>
      <c r="D9" s="43">
        <v>528507.68999999994</v>
      </c>
      <c r="E9" s="42">
        <v>445164</v>
      </c>
      <c r="F9" s="43">
        <v>299022.96000000002</v>
      </c>
      <c r="G9" s="43">
        <f t="shared" ref="G9:G11" si="0">F9-E9</f>
        <v>-146141.03999999998</v>
      </c>
      <c r="H9" s="73">
        <v>548045.92000000004</v>
      </c>
      <c r="I9" s="43"/>
      <c r="J9" s="43">
        <v>450164</v>
      </c>
      <c r="K9" s="65">
        <v>-11.4</v>
      </c>
      <c r="L9" s="43">
        <f t="shared" ref="L9:L11" si="1">J9</f>
        <v>450164</v>
      </c>
      <c r="M9" s="43">
        <f t="shared" ref="M9:M11" si="2">L9</f>
        <v>450164</v>
      </c>
      <c r="N9" s="50"/>
      <c r="O9" s="47">
        <f>J9-E9</f>
        <v>5000</v>
      </c>
      <c r="P9" s="50"/>
      <c r="Q9" s="115">
        <f t="shared" ref="Q9:Q49" si="3">O9/E9</f>
        <v>1.1231815690397247E-2</v>
      </c>
      <c r="R9" s="116">
        <f t="shared" ref="R9:R11" si="4">H9-E9</f>
        <v>102881.92000000004</v>
      </c>
    </row>
    <row r="10" spans="1:25" x14ac:dyDescent="0.25">
      <c r="B10" s="41" t="s">
        <v>5</v>
      </c>
      <c r="C10" s="42">
        <v>200948</v>
      </c>
      <c r="D10" s="43">
        <v>314599.76</v>
      </c>
      <c r="E10" s="42">
        <v>385469</v>
      </c>
      <c r="F10" s="43">
        <v>139928.66</v>
      </c>
      <c r="G10" s="43">
        <f t="shared" si="0"/>
        <v>-245540.34</v>
      </c>
      <c r="H10" s="73">
        <v>424857.32</v>
      </c>
      <c r="I10" s="43"/>
      <c r="J10" s="43">
        <v>253026</v>
      </c>
      <c r="K10" s="65">
        <v>76</v>
      </c>
      <c r="L10" s="43">
        <f t="shared" si="1"/>
        <v>253026</v>
      </c>
      <c r="M10" s="43">
        <f t="shared" si="2"/>
        <v>253026</v>
      </c>
      <c r="N10" s="50"/>
      <c r="O10" s="47">
        <f t="shared" ref="O10:O49" si="5">J10-E10</f>
        <v>-132443</v>
      </c>
      <c r="P10" s="50"/>
      <c r="Q10" s="115">
        <f t="shared" si="3"/>
        <v>-0.34358923804508273</v>
      </c>
      <c r="R10" s="116">
        <f t="shared" si="4"/>
        <v>39388.320000000007</v>
      </c>
    </row>
    <row r="11" spans="1:25" x14ac:dyDescent="0.25">
      <c r="B11" s="41" t="s">
        <v>6</v>
      </c>
      <c r="C11" s="42">
        <v>2154038</v>
      </c>
      <c r="D11" s="43">
        <v>2483280.87</v>
      </c>
      <c r="E11" s="42">
        <v>2776905</v>
      </c>
      <c r="F11" s="43">
        <v>1283253.29</v>
      </c>
      <c r="G11" s="43">
        <f t="shared" si="0"/>
        <v>-1493651.71</v>
      </c>
      <c r="H11" s="73">
        <v>2606506.58</v>
      </c>
      <c r="I11" s="43"/>
      <c r="J11" s="43">
        <v>2776905</v>
      </c>
      <c r="K11" s="65">
        <v>14</v>
      </c>
      <c r="L11" s="43">
        <f t="shared" si="1"/>
        <v>2776905</v>
      </c>
      <c r="M11" s="43">
        <f t="shared" si="2"/>
        <v>2776905</v>
      </c>
      <c r="N11" s="50"/>
      <c r="O11" s="47">
        <f t="shared" si="5"/>
        <v>0</v>
      </c>
      <c r="P11" s="50"/>
      <c r="Q11" s="115">
        <f t="shared" si="3"/>
        <v>0</v>
      </c>
      <c r="R11" s="116">
        <f t="shared" si="4"/>
        <v>-170398.41999999993</v>
      </c>
    </row>
    <row r="12" spans="1:25" x14ac:dyDescent="0.25">
      <c r="B12" s="39" t="s">
        <v>7</v>
      </c>
      <c r="C12" s="40">
        <f t="shared" ref="C12:H12" si="6">SUM(C8:C11)</f>
        <v>5399575</v>
      </c>
      <c r="D12" s="44">
        <f t="shared" si="6"/>
        <v>5350509.08</v>
      </c>
      <c r="E12" s="44">
        <f t="shared" si="6"/>
        <v>5593419</v>
      </c>
      <c r="F12" s="44">
        <f>SUM(F8:F11)</f>
        <v>2625721.69</v>
      </c>
      <c r="G12" s="44">
        <f t="shared" si="6"/>
        <v>-2967697.31</v>
      </c>
      <c r="H12" s="76">
        <f t="shared" si="6"/>
        <v>5655943.3799999999</v>
      </c>
      <c r="I12" s="84">
        <f>(H12-D12)/D12</f>
        <v>5.7085091424608853E-2</v>
      </c>
      <c r="J12" s="44">
        <f>SUM(J8:J11)</f>
        <v>4954247</v>
      </c>
      <c r="K12" s="85">
        <v>11.3</v>
      </c>
      <c r="L12" s="44">
        <f>SUM(L8:L11)</f>
        <v>4954247</v>
      </c>
      <c r="M12" s="44">
        <f>SUM(M8:M11)</f>
        <v>4954247</v>
      </c>
      <c r="N12" s="50"/>
      <c r="O12" s="47">
        <f t="shared" si="5"/>
        <v>-639172</v>
      </c>
      <c r="P12" s="50"/>
      <c r="Q12" s="115">
        <f t="shared" si="3"/>
        <v>-0.11427214732170074</v>
      </c>
      <c r="R12" s="116">
        <f>SUM(R8:R11)</f>
        <v>62524.380000000179</v>
      </c>
    </row>
    <row r="13" spans="1:25" x14ac:dyDescent="0.25">
      <c r="B13" s="39"/>
      <c r="C13" s="40"/>
      <c r="D13" s="44"/>
      <c r="E13" s="44"/>
      <c r="F13" s="44"/>
      <c r="G13" s="44"/>
      <c r="H13" s="76"/>
      <c r="I13" s="84"/>
      <c r="J13" s="44"/>
      <c r="K13" s="85"/>
      <c r="L13" s="44"/>
      <c r="M13" s="44"/>
      <c r="N13" s="50"/>
      <c r="O13" s="47"/>
      <c r="P13" s="50"/>
      <c r="Q13" s="115"/>
      <c r="R13" s="116"/>
    </row>
    <row r="14" spans="1:25" x14ac:dyDescent="0.25">
      <c r="B14" s="41" t="s">
        <v>8</v>
      </c>
      <c r="C14" s="42"/>
      <c r="D14" s="43"/>
      <c r="E14" s="42"/>
      <c r="F14" s="43"/>
      <c r="G14" s="43"/>
      <c r="H14" s="73"/>
      <c r="I14" s="43"/>
      <c r="J14" s="43"/>
      <c r="K14" s="65"/>
      <c r="L14" s="43"/>
      <c r="M14" s="43"/>
      <c r="N14" s="50"/>
      <c r="O14" s="47">
        <f t="shared" si="5"/>
        <v>0</v>
      </c>
      <c r="P14" s="50"/>
      <c r="Q14" s="115"/>
      <c r="R14" s="116"/>
    </row>
    <row r="15" spans="1:25" x14ac:dyDescent="0.25">
      <c r="B15" s="41" t="s">
        <v>9</v>
      </c>
      <c r="C15" s="42"/>
      <c r="D15" s="43"/>
      <c r="E15" s="42"/>
      <c r="F15" s="43"/>
      <c r="G15" s="43"/>
      <c r="H15" s="73"/>
      <c r="I15" s="43"/>
      <c r="J15" s="43"/>
      <c r="K15" s="65"/>
      <c r="L15" s="43"/>
      <c r="M15" s="43"/>
      <c r="N15" s="50"/>
      <c r="O15" s="47">
        <f t="shared" si="5"/>
        <v>0</v>
      </c>
      <c r="P15" s="50"/>
      <c r="Q15" s="115"/>
      <c r="R15" s="116"/>
    </row>
    <row r="16" spans="1:25" x14ac:dyDescent="0.25">
      <c r="B16" s="41" t="s">
        <v>10</v>
      </c>
      <c r="C16" s="42">
        <v>-6522894</v>
      </c>
      <c r="D16" s="43">
        <v>-6693744.7000000002</v>
      </c>
      <c r="E16" s="42">
        <v>-7460064</v>
      </c>
      <c r="F16" s="43">
        <v>-3615760.55</v>
      </c>
      <c r="G16" s="43">
        <f t="shared" ref="G16:G22" si="7">F16-E16</f>
        <v>3844303.45</v>
      </c>
      <c r="H16" s="73">
        <v>-6970879.7648933344</v>
      </c>
      <c r="I16" s="43"/>
      <c r="J16" s="43">
        <v>-7361126</v>
      </c>
      <c r="K16" s="65">
        <v>8.9</v>
      </c>
      <c r="L16" s="43">
        <f>J16</f>
        <v>-7361126</v>
      </c>
      <c r="M16" s="43">
        <f t="shared" ref="M16:M22" si="8">L16</f>
        <v>-7361126</v>
      </c>
      <c r="N16" s="50"/>
      <c r="O16" s="47">
        <f t="shared" si="5"/>
        <v>98938</v>
      </c>
      <c r="P16" s="50"/>
      <c r="Q16" s="115">
        <f t="shared" si="3"/>
        <v>-1.3262352709038422E-2</v>
      </c>
      <c r="R16" s="116">
        <f t="shared" ref="R16:R22" si="9">H16-E16</f>
        <v>489184.23510666564</v>
      </c>
    </row>
    <row r="17" spans="1:25" x14ac:dyDescent="0.25">
      <c r="B17" s="41" t="s">
        <v>11</v>
      </c>
      <c r="C17" s="42">
        <v>-1380373</v>
      </c>
      <c r="D17" s="43">
        <v>-1412278.23</v>
      </c>
      <c r="E17" s="42">
        <v>-1532021</v>
      </c>
      <c r="F17" s="43">
        <v>-754100.06</v>
      </c>
      <c r="G17" s="43">
        <f t="shared" si="7"/>
        <v>777920.94</v>
      </c>
      <c r="H17" s="73">
        <v>-1465883.3409653334</v>
      </c>
      <c r="I17" s="43"/>
      <c r="J17" s="43">
        <v>-1514881</v>
      </c>
      <c r="K17" s="65">
        <v>5.8</v>
      </c>
      <c r="L17" s="43">
        <f t="shared" ref="L17:L22" si="10">J17</f>
        <v>-1514881</v>
      </c>
      <c r="M17" s="43">
        <f t="shared" si="8"/>
        <v>-1514881</v>
      </c>
      <c r="N17" s="50"/>
      <c r="O17" s="47">
        <f t="shared" si="5"/>
        <v>17140</v>
      </c>
      <c r="P17" s="50"/>
      <c r="Q17" s="115">
        <f t="shared" si="3"/>
        <v>-1.1187836198067781E-2</v>
      </c>
      <c r="R17" s="116">
        <f t="shared" si="9"/>
        <v>66137.659034666605</v>
      </c>
    </row>
    <row r="18" spans="1:25" x14ac:dyDescent="0.25">
      <c r="B18" s="41" t="s">
        <v>12</v>
      </c>
      <c r="C18" s="42">
        <v>-179635</v>
      </c>
      <c r="D18" s="43">
        <v>-206707.51</v>
      </c>
      <c r="E18" s="42">
        <v>-236250</v>
      </c>
      <c r="F18" s="43">
        <v>-114184.16</v>
      </c>
      <c r="G18" s="43">
        <f t="shared" si="7"/>
        <v>122065.84</v>
      </c>
      <c r="H18" s="73">
        <v>-220197.32595199998</v>
      </c>
      <c r="I18" s="43"/>
      <c r="J18" s="43">
        <v>-233330</v>
      </c>
      <c r="K18" s="65">
        <v>7</v>
      </c>
      <c r="L18" s="43">
        <f t="shared" si="10"/>
        <v>-233330</v>
      </c>
      <c r="M18" s="43">
        <f t="shared" si="8"/>
        <v>-233330</v>
      </c>
      <c r="N18" s="50"/>
      <c r="O18" s="47">
        <f t="shared" si="5"/>
        <v>2920</v>
      </c>
      <c r="P18" s="50"/>
      <c r="Q18" s="115">
        <f t="shared" si="3"/>
        <v>-1.2359788359788361E-2</v>
      </c>
      <c r="R18" s="116">
        <f t="shared" si="9"/>
        <v>16052.674048000015</v>
      </c>
    </row>
    <row r="19" spans="1:25" x14ac:dyDescent="0.25">
      <c r="B19" s="41" t="s">
        <v>13</v>
      </c>
      <c r="C19" s="42">
        <v>-17638287</v>
      </c>
      <c r="D19" s="43">
        <v>-17804494.120000001</v>
      </c>
      <c r="E19" s="42">
        <v>-19494181</v>
      </c>
      <c r="F19" s="43">
        <v>-9740374.8399999999</v>
      </c>
      <c r="G19" s="43">
        <f t="shared" si="7"/>
        <v>9753806.1600000001</v>
      </c>
      <c r="H19" s="73">
        <v>-19578249.68</v>
      </c>
      <c r="I19" s="43"/>
      <c r="J19" s="43">
        <v>-4378156</v>
      </c>
      <c r="K19" s="65">
        <v>6</v>
      </c>
      <c r="L19" s="43">
        <f t="shared" si="10"/>
        <v>-4378156</v>
      </c>
      <c r="M19" s="43">
        <f t="shared" si="8"/>
        <v>-4378156</v>
      </c>
      <c r="N19" s="50"/>
      <c r="O19" s="47">
        <f t="shared" si="5"/>
        <v>15116025</v>
      </c>
      <c r="P19" s="50"/>
      <c r="Q19" s="115">
        <f t="shared" si="3"/>
        <v>-0.77541216017230985</v>
      </c>
      <c r="R19" s="116">
        <f t="shared" si="9"/>
        <v>-84068.679999999702</v>
      </c>
      <c r="S19" s="106"/>
      <c r="T19" s="107"/>
    </row>
    <row r="20" spans="1:25" x14ac:dyDescent="0.25">
      <c r="B20" s="41" t="s">
        <v>14</v>
      </c>
      <c r="C20" s="42">
        <v>-1297181</v>
      </c>
      <c r="D20" s="43">
        <v>-1230604.8500000001</v>
      </c>
      <c r="E20" s="42">
        <v>-1277486</v>
      </c>
      <c r="F20" s="43">
        <v>-615895.19999999995</v>
      </c>
      <c r="G20" s="43">
        <f t="shared" si="7"/>
        <v>661590.80000000005</v>
      </c>
      <c r="H20" s="73">
        <v>-1277486</v>
      </c>
      <c r="I20" s="43"/>
      <c r="J20" s="43">
        <v>-1260386</v>
      </c>
      <c r="K20" s="65">
        <v>1.1000000000000001</v>
      </c>
      <c r="L20" s="43">
        <f t="shared" si="10"/>
        <v>-1260386</v>
      </c>
      <c r="M20" s="43">
        <f t="shared" si="8"/>
        <v>-1260386</v>
      </c>
      <c r="N20" s="50"/>
      <c r="O20" s="47">
        <f t="shared" si="5"/>
        <v>17100</v>
      </c>
      <c r="P20" s="50"/>
      <c r="Q20" s="115">
        <f t="shared" si="3"/>
        <v>-1.3385665283220325E-2</v>
      </c>
      <c r="R20" s="116">
        <f t="shared" si="9"/>
        <v>0</v>
      </c>
      <c r="S20" s="105"/>
      <c r="T20" s="105"/>
    </row>
    <row r="21" spans="1:25" x14ac:dyDescent="0.25">
      <c r="B21" s="41" t="s">
        <v>15</v>
      </c>
      <c r="C21" s="42">
        <v>-585406</v>
      </c>
      <c r="D21" s="43">
        <v>-601260.75</v>
      </c>
      <c r="E21" s="42">
        <v>-549000</v>
      </c>
      <c r="F21" s="43">
        <v>-209103.93</v>
      </c>
      <c r="G21" s="43">
        <f t="shared" si="7"/>
        <v>339896.07</v>
      </c>
      <c r="H21" s="73">
        <v>-507707.86</v>
      </c>
      <c r="I21" s="43"/>
      <c r="J21" s="43">
        <v>-549000</v>
      </c>
      <c r="K21" s="65">
        <v>5.8</v>
      </c>
      <c r="L21" s="43">
        <f t="shared" si="10"/>
        <v>-549000</v>
      </c>
      <c r="M21" s="43">
        <f t="shared" si="8"/>
        <v>-549000</v>
      </c>
      <c r="N21" s="50"/>
      <c r="O21" s="47">
        <f t="shared" si="5"/>
        <v>0</v>
      </c>
      <c r="P21" s="50"/>
      <c r="Q21" s="115">
        <f t="shared" si="3"/>
        <v>0</v>
      </c>
      <c r="R21" s="116">
        <f t="shared" si="9"/>
        <v>41292.140000000014</v>
      </c>
      <c r="S21" s="105"/>
      <c r="T21" s="105"/>
    </row>
    <row r="22" spans="1:25" x14ac:dyDescent="0.25">
      <c r="B22" s="41" t="s">
        <v>16</v>
      </c>
      <c r="C22" s="42">
        <v>-1772839</v>
      </c>
      <c r="D22" s="43">
        <v>-1806546.51</v>
      </c>
      <c r="E22" s="42">
        <v>-1844416</v>
      </c>
      <c r="F22" s="43">
        <v>-881460.71</v>
      </c>
      <c r="G22" s="43">
        <f t="shared" si="7"/>
        <v>962955.29</v>
      </c>
      <c r="H22" s="73">
        <v>-1762921.42</v>
      </c>
      <c r="I22" s="43"/>
      <c r="J22" s="43">
        <v>-1840986</v>
      </c>
      <c r="K22" s="65">
        <v>0.3</v>
      </c>
      <c r="L22" s="43">
        <f t="shared" si="10"/>
        <v>-1840986</v>
      </c>
      <c r="M22" s="43">
        <f t="shared" si="8"/>
        <v>-1840986</v>
      </c>
      <c r="N22" s="50"/>
      <c r="O22" s="47">
        <f t="shared" si="5"/>
        <v>3430</v>
      </c>
      <c r="P22" s="50"/>
      <c r="Q22" s="115">
        <f t="shared" si="3"/>
        <v>-1.8596672334223949E-3</v>
      </c>
      <c r="R22" s="116">
        <f t="shared" si="9"/>
        <v>81494.580000000075</v>
      </c>
      <c r="S22" s="105"/>
      <c r="T22" s="105"/>
    </row>
    <row r="23" spans="1:25" x14ac:dyDescent="0.25">
      <c r="B23" s="39" t="s">
        <v>17</v>
      </c>
      <c r="C23" s="40">
        <f t="shared" ref="C23:H23" si="11">SUM(C16:C22)</f>
        <v>-29376615</v>
      </c>
      <c r="D23" s="44">
        <f t="shared" si="11"/>
        <v>-29755636.670000006</v>
      </c>
      <c r="E23" s="44">
        <f t="shared" si="11"/>
        <v>-32393418</v>
      </c>
      <c r="F23" s="44">
        <f>SUM(F16:F22)</f>
        <v>-15930879.449999999</v>
      </c>
      <c r="G23" s="44">
        <f t="shared" si="11"/>
        <v>16462538.550000001</v>
      </c>
      <c r="H23" s="76">
        <f t="shared" si="11"/>
        <v>-31783325.39181067</v>
      </c>
      <c r="I23" s="84">
        <f>(H23-D23)/D23</f>
        <v>6.8144692862680545E-2</v>
      </c>
      <c r="J23" s="44">
        <f>SUM(J16:J22)</f>
        <v>-17137865</v>
      </c>
      <c r="K23" s="85">
        <v>6.1</v>
      </c>
      <c r="L23" s="44">
        <f>SUM(L16:L22)</f>
        <v>-17137865</v>
      </c>
      <c r="M23" s="44">
        <f>SUM(M16:M22)</f>
        <v>-17137865</v>
      </c>
      <c r="N23" s="50"/>
      <c r="O23" s="47">
        <f t="shared" si="5"/>
        <v>15255553</v>
      </c>
      <c r="P23" s="50"/>
      <c r="Q23" s="115">
        <f t="shared" si="3"/>
        <v>-0.47094607305718711</v>
      </c>
      <c r="R23" s="116">
        <f>SUM(R16:R22)</f>
        <v>610092.60818933265</v>
      </c>
      <c r="S23" s="105"/>
      <c r="T23" s="105"/>
    </row>
    <row r="24" spans="1:25" x14ac:dyDescent="0.25">
      <c r="B24" s="39"/>
      <c r="C24" s="40"/>
      <c r="D24" s="44"/>
      <c r="E24" s="44"/>
      <c r="F24" s="44"/>
      <c r="G24" s="44"/>
      <c r="H24" s="76"/>
      <c r="I24" s="84"/>
      <c r="J24" s="44"/>
      <c r="K24" s="85"/>
      <c r="L24" s="44"/>
      <c r="M24" s="44"/>
      <c r="N24" s="50"/>
      <c r="O24" s="47"/>
      <c r="P24" s="50"/>
      <c r="Q24" s="115"/>
      <c r="R24" s="116"/>
      <c r="S24" s="105"/>
      <c r="T24" s="105"/>
    </row>
    <row r="25" spans="1:25" x14ac:dyDescent="0.25">
      <c r="B25" s="45" t="s">
        <v>18</v>
      </c>
      <c r="C25" s="46">
        <f>C23+C12</f>
        <v>-23977040</v>
      </c>
      <c r="D25" s="46">
        <f>SUM(D12,D23)</f>
        <v>-24405127.590000004</v>
      </c>
      <c r="E25" s="46">
        <f>SUM(E12,E23)</f>
        <v>-26799999</v>
      </c>
      <c r="F25" s="46">
        <f>SUM(F12,F23)</f>
        <v>-13305157.76</v>
      </c>
      <c r="G25" s="46">
        <f>SUM(G12,G23)</f>
        <v>13494841.24</v>
      </c>
      <c r="H25" s="46">
        <f>SUM(H12,H23)</f>
        <v>-26127382.011810672</v>
      </c>
      <c r="I25" s="86">
        <f>(H25-D25)/D25</f>
        <v>7.0569367665029595E-2</v>
      </c>
      <c r="J25" s="46">
        <f>SUM(J12,J23)</f>
        <v>-12183618</v>
      </c>
      <c r="K25" s="87">
        <v>5.0999999999999996</v>
      </c>
      <c r="L25" s="46">
        <f>SUM(L12,L23)</f>
        <v>-12183618</v>
      </c>
      <c r="M25" s="46">
        <f>SUM(M12,M23)</f>
        <v>-12183618</v>
      </c>
      <c r="N25" s="117"/>
      <c r="O25" s="118">
        <f t="shared" si="5"/>
        <v>14616381</v>
      </c>
      <c r="P25" s="117"/>
      <c r="Q25" s="119">
        <f t="shared" si="3"/>
        <v>-0.54538737109654367</v>
      </c>
      <c r="R25" s="116">
        <f>SUM(R12,R23)</f>
        <v>672616.98818933289</v>
      </c>
      <c r="S25" s="105"/>
      <c r="T25" s="105"/>
    </row>
    <row r="26" spans="1:25" s="9" customFormat="1" x14ac:dyDescent="0.25">
      <c r="B26" s="16"/>
      <c r="C26" s="17"/>
      <c r="D26" s="17"/>
      <c r="E26" s="17"/>
      <c r="F26" s="32"/>
      <c r="G26" s="32"/>
      <c r="H26" s="32"/>
      <c r="I26" s="109"/>
      <c r="J26" s="32"/>
      <c r="K26" s="58"/>
      <c r="L26" s="32"/>
      <c r="M26" s="32"/>
      <c r="N26" s="53"/>
      <c r="O26" s="56"/>
      <c r="P26" s="53"/>
      <c r="Q26" s="110"/>
      <c r="R26" s="111"/>
      <c r="S26" s="5"/>
      <c r="T26" s="5"/>
    </row>
    <row r="27" spans="1:25" s="2" customFormat="1" ht="30" x14ac:dyDescent="0.25">
      <c r="A27" s="100"/>
      <c r="B27" s="35" t="s">
        <v>67</v>
      </c>
      <c r="C27" s="36" t="s">
        <v>36</v>
      </c>
      <c r="D27" s="36" t="s">
        <v>1</v>
      </c>
      <c r="E27" s="36" t="s">
        <v>37</v>
      </c>
      <c r="F27" s="36" t="s">
        <v>72</v>
      </c>
      <c r="G27" s="36" t="s">
        <v>57</v>
      </c>
      <c r="H27" s="36" t="s">
        <v>38</v>
      </c>
      <c r="I27" s="36"/>
      <c r="J27" s="36" t="s">
        <v>39</v>
      </c>
      <c r="K27" s="36" t="s">
        <v>40</v>
      </c>
      <c r="L27" s="36" t="s">
        <v>41</v>
      </c>
      <c r="M27" s="36" t="s">
        <v>42</v>
      </c>
      <c r="N27" s="112"/>
      <c r="O27" s="112"/>
      <c r="P27" s="112"/>
      <c r="Q27" s="112"/>
      <c r="R27" s="77" t="s">
        <v>58</v>
      </c>
      <c r="S27" s="105"/>
      <c r="T27" s="105"/>
      <c r="U27" s="100"/>
      <c r="V27" s="100"/>
      <c r="W27" s="100"/>
      <c r="X27" s="100"/>
      <c r="Y27" s="100"/>
    </row>
    <row r="28" spans="1:25" x14ac:dyDescent="0.25">
      <c r="B28" s="41" t="s">
        <v>19</v>
      </c>
      <c r="C28" s="42">
        <v>17941545</v>
      </c>
      <c r="D28" s="43">
        <v>19196219.5</v>
      </c>
      <c r="E28" s="42">
        <v>19659070</v>
      </c>
      <c r="F28" s="43">
        <v>10353863.23</v>
      </c>
      <c r="G28" s="43">
        <f t="shared" ref="G28:G34" si="12">F28-E28</f>
        <v>-9305206.7699999996</v>
      </c>
      <c r="H28" s="73">
        <v>20829980.750539999</v>
      </c>
      <c r="I28" s="43"/>
      <c r="J28" s="43">
        <f>[1]Verotulot!G39</f>
        <v>11042933.647458548</v>
      </c>
      <c r="K28" s="65">
        <v>8.9</v>
      </c>
      <c r="L28" s="43">
        <f>[1]Verotulot!H39</f>
        <v>10963406.442934247</v>
      </c>
      <c r="M28" s="43">
        <f>[1]Verotulot!I39</f>
        <v>11188239.258458849</v>
      </c>
      <c r="N28" s="50"/>
      <c r="O28" s="47">
        <f t="shared" si="5"/>
        <v>-8616136.3525414523</v>
      </c>
      <c r="P28" s="50"/>
      <c r="Q28" s="115">
        <f t="shared" si="3"/>
        <v>-0.438277922228338</v>
      </c>
      <c r="R28" s="116">
        <f>H28-E28</f>
        <v>1170910.7505399995</v>
      </c>
      <c r="S28" s="105"/>
      <c r="T28" s="105"/>
    </row>
    <row r="29" spans="1:25" x14ac:dyDescent="0.25">
      <c r="B29" s="41" t="s">
        <v>20</v>
      </c>
      <c r="C29" s="42">
        <v>9149888</v>
      </c>
      <c r="D29" s="43">
        <v>7974051</v>
      </c>
      <c r="E29" s="42">
        <v>7771608</v>
      </c>
      <c r="F29" s="43">
        <v>3852924</v>
      </c>
      <c r="G29" s="43">
        <f t="shared" si="12"/>
        <v>-3918684</v>
      </c>
      <c r="H29" s="73">
        <v>7936018</v>
      </c>
      <c r="I29" s="43"/>
      <c r="J29" s="43">
        <v>2638164</v>
      </c>
      <c r="K29" s="65">
        <v>-2.9</v>
      </c>
      <c r="L29" s="43">
        <f>J29-85000</f>
        <v>2553164</v>
      </c>
      <c r="M29" s="43">
        <f>L29</f>
        <v>2553164</v>
      </c>
      <c r="N29" s="50"/>
      <c r="O29" s="47">
        <f t="shared" si="5"/>
        <v>-5133444</v>
      </c>
      <c r="P29" s="50"/>
      <c r="Q29" s="115">
        <f t="shared" si="3"/>
        <v>-0.66053820522085005</v>
      </c>
      <c r="R29" s="116">
        <f>H29-E29</f>
        <v>164410</v>
      </c>
    </row>
    <row r="30" spans="1:25" x14ac:dyDescent="0.25">
      <c r="B30" s="41" t="s">
        <v>21</v>
      </c>
      <c r="C30" s="42"/>
      <c r="D30" s="47"/>
      <c r="E30" s="42"/>
      <c r="F30" s="47"/>
      <c r="G30" s="47"/>
      <c r="H30" s="132"/>
      <c r="I30" s="47"/>
      <c r="J30" s="43"/>
      <c r="K30" s="65"/>
      <c r="L30" s="43"/>
      <c r="M30" s="43"/>
      <c r="N30" s="50"/>
      <c r="O30" s="47">
        <f t="shared" si="5"/>
        <v>0</v>
      </c>
      <c r="P30" s="50"/>
      <c r="Q30" s="115"/>
      <c r="R30" s="116"/>
    </row>
    <row r="31" spans="1:25" x14ac:dyDescent="0.25">
      <c r="B31" s="41" t="s">
        <v>22</v>
      </c>
      <c r="C31" s="42">
        <v>5668</v>
      </c>
      <c r="D31" s="43">
        <v>0</v>
      </c>
      <c r="E31" s="42">
        <v>100</v>
      </c>
      <c r="F31" s="43">
        <v>0</v>
      </c>
      <c r="G31" s="43">
        <f t="shared" si="12"/>
        <v>-100</v>
      </c>
      <c r="H31" s="73">
        <v>0</v>
      </c>
      <c r="I31" s="43"/>
      <c r="J31" s="43">
        <v>100</v>
      </c>
      <c r="K31" s="65"/>
      <c r="L31" s="43">
        <f t="shared" ref="L31:L34" si="13">J31</f>
        <v>100</v>
      </c>
      <c r="M31" s="43">
        <f t="shared" ref="M31:M34" si="14">L31</f>
        <v>100</v>
      </c>
      <c r="N31" s="50"/>
      <c r="O31" s="47">
        <f t="shared" si="5"/>
        <v>0</v>
      </c>
      <c r="P31" s="50"/>
      <c r="Q31" s="115">
        <f t="shared" si="3"/>
        <v>0</v>
      </c>
      <c r="R31" s="116">
        <f>H31-E31</f>
        <v>-100</v>
      </c>
    </row>
    <row r="32" spans="1:25" x14ac:dyDescent="0.25">
      <c r="B32" s="41" t="s">
        <v>23</v>
      </c>
      <c r="C32" s="42">
        <v>86841</v>
      </c>
      <c r="D32" s="43">
        <v>130092.63</v>
      </c>
      <c r="E32" s="42">
        <v>51728</v>
      </c>
      <c r="F32" s="43">
        <v>54553.99</v>
      </c>
      <c r="G32" s="43">
        <f t="shared" si="12"/>
        <v>2825.989999999998</v>
      </c>
      <c r="H32" s="73">
        <v>86053.989999999991</v>
      </c>
      <c r="I32" s="43"/>
      <c r="J32" s="43">
        <v>41176</v>
      </c>
      <c r="K32" s="65">
        <v>80.900000000000006</v>
      </c>
      <c r="L32" s="43">
        <f t="shared" si="13"/>
        <v>41176</v>
      </c>
      <c r="M32" s="43">
        <f t="shared" si="14"/>
        <v>41176</v>
      </c>
      <c r="N32" s="50"/>
      <c r="O32" s="47">
        <f t="shared" si="5"/>
        <v>-10552</v>
      </c>
      <c r="P32" s="50"/>
      <c r="Q32" s="115">
        <f t="shared" si="3"/>
        <v>-0.20399010207237861</v>
      </c>
      <c r="R32" s="116">
        <f>H32-E32</f>
        <v>34325.989999999991</v>
      </c>
    </row>
    <row r="33" spans="1:25" x14ac:dyDescent="0.25">
      <c r="B33" s="41" t="s">
        <v>24</v>
      </c>
      <c r="C33" s="42">
        <v>-71892</v>
      </c>
      <c r="D33" s="43">
        <v>-39181.07</v>
      </c>
      <c r="E33" s="42">
        <v>-50500</v>
      </c>
      <c r="F33" s="43">
        <v>-7720.24</v>
      </c>
      <c r="G33" s="43">
        <f t="shared" si="12"/>
        <v>42779.76</v>
      </c>
      <c r="H33" s="73">
        <v>-33720.239999999998</v>
      </c>
      <c r="I33" s="43"/>
      <c r="J33" s="43">
        <v>-94500</v>
      </c>
      <c r="K33" s="65">
        <v>-46.6</v>
      </c>
      <c r="L33" s="43">
        <f t="shared" si="13"/>
        <v>-94500</v>
      </c>
      <c r="M33" s="43">
        <f t="shared" si="14"/>
        <v>-94500</v>
      </c>
      <c r="N33" s="50"/>
      <c r="O33" s="47">
        <f t="shared" si="5"/>
        <v>-44000</v>
      </c>
      <c r="P33" s="50"/>
      <c r="Q33" s="115">
        <f t="shared" si="3"/>
        <v>0.87128712871287128</v>
      </c>
      <c r="R33" s="116">
        <f>H33-E33</f>
        <v>16779.760000000002</v>
      </c>
    </row>
    <row r="34" spans="1:25" x14ac:dyDescent="0.25">
      <c r="B34" s="41" t="s">
        <v>25</v>
      </c>
      <c r="C34" s="42">
        <v>-47992</v>
      </c>
      <c r="D34" s="43">
        <v>-903678.22</v>
      </c>
      <c r="E34" s="42">
        <v>-103544</v>
      </c>
      <c r="F34" s="43">
        <v>-57348.53</v>
      </c>
      <c r="G34" s="43">
        <f t="shared" si="12"/>
        <v>46195.47</v>
      </c>
      <c r="H34" s="73">
        <v>-102348.53</v>
      </c>
      <c r="I34" s="43"/>
      <c r="J34" s="43">
        <v>-94259</v>
      </c>
      <c r="K34" s="65">
        <v>2.5</v>
      </c>
      <c r="L34" s="43">
        <f t="shared" si="13"/>
        <v>-94259</v>
      </c>
      <c r="M34" s="43">
        <f t="shared" si="14"/>
        <v>-94259</v>
      </c>
      <c r="N34" s="50"/>
      <c r="O34" s="47">
        <f t="shared" si="5"/>
        <v>9285</v>
      </c>
      <c r="P34" s="50"/>
      <c r="Q34" s="115">
        <f t="shared" si="3"/>
        <v>-8.9672023487599478E-2</v>
      </c>
      <c r="R34" s="116">
        <f>H34-E34</f>
        <v>1195.4700000000012</v>
      </c>
    </row>
    <row r="35" spans="1:25" x14ac:dyDescent="0.25">
      <c r="B35" s="39" t="s">
        <v>26</v>
      </c>
      <c r="C35" s="40">
        <v>-27374</v>
      </c>
      <c r="D35" s="44">
        <f>SUM(D31:D34)</f>
        <v>-812766.65999999992</v>
      </c>
      <c r="E35" s="44">
        <f>SUM(E31:E34)</f>
        <v>-102216</v>
      </c>
      <c r="F35" s="44">
        <f>SUM(F31:F34)</f>
        <v>-10514.779999999999</v>
      </c>
      <c r="G35" s="44">
        <f>SUM(G31:G34)</f>
        <v>91701.22</v>
      </c>
      <c r="H35" s="76">
        <f>SUM(H31:H34)</f>
        <v>-50014.780000000006</v>
      </c>
      <c r="I35" s="84">
        <f>(H35-D35)/D35</f>
        <v>-0.93846354376790009</v>
      </c>
      <c r="J35" s="44">
        <f>SUM(J31:J34)</f>
        <v>-147483</v>
      </c>
      <c r="K35" s="85">
        <v>-38.700000000000003</v>
      </c>
      <c r="L35" s="44">
        <f>SUM(L31:L34)</f>
        <v>-147483</v>
      </c>
      <c r="M35" s="44">
        <f>SUM(M31:M34)</f>
        <v>-147483</v>
      </c>
      <c r="N35" s="50"/>
      <c r="O35" s="47">
        <f t="shared" si="5"/>
        <v>-45267</v>
      </c>
      <c r="P35" s="50"/>
      <c r="Q35" s="115">
        <f t="shared" si="3"/>
        <v>0.4428563042967833</v>
      </c>
      <c r="R35" s="116">
        <f>SUM(R31:R34)</f>
        <v>52201.219999999994</v>
      </c>
    </row>
    <row r="36" spans="1:25" x14ac:dyDescent="0.25">
      <c r="B36" s="39"/>
      <c r="C36" s="40"/>
      <c r="D36" s="44"/>
      <c r="E36" s="44"/>
      <c r="F36" s="44"/>
      <c r="G36" s="44"/>
      <c r="H36" s="76"/>
      <c r="I36" s="84"/>
      <c r="J36" s="44"/>
      <c r="K36" s="85"/>
      <c r="L36" s="44"/>
      <c r="M36" s="44"/>
      <c r="N36" s="50"/>
      <c r="O36" s="47"/>
      <c r="P36" s="50"/>
      <c r="Q36" s="115"/>
      <c r="R36" s="116"/>
    </row>
    <row r="37" spans="1:25" x14ac:dyDescent="0.25">
      <c r="B37" s="45" t="s">
        <v>27</v>
      </c>
      <c r="C37" s="46">
        <f>C25+C28+C29+C35</f>
        <v>3087019</v>
      </c>
      <c r="D37" s="46">
        <f>SUM(D25:D29,D35)</f>
        <v>1952376.2499999965</v>
      </c>
      <c r="E37" s="46">
        <f>SUM(E25:E29,E35)</f>
        <v>528463</v>
      </c>
      <c r="F37" s="46">
        <f>SUM(F25:F29,F35)</f>
        <v>891114.69000000064</v>
      </c>
      <c r="G37" s="46">
        <f>SUM(G25:G29,G35)</f>
        <v>362651.69000000064</v>
      </c>
      <c r="H37" s="46">
        <f>SUM(H25:H29,H35)</f>
        <v>2588601.9587293281</v>
      </c>
      <c r="I37" s="86">
        <f>(H37-D37)/D37</f>
        <v>0.32587248934693441</v>
      </c>
      <c r="J37" s="46">
        <f>SUM(J25:J29,J35)</f>
        <v>1349996.6474585477</v>
      </c>
      <c r="K37" s="87">
        <v>33.6</v>
      </c>
      <c r="L37" s="46">
        <f>SUM(L25:L29,L35)</f>
        <v>1185469.4429342467</v>
      </c>
      <c r="M37" s="46">
        <f>SUM(M25:M29,M35)</f>
        <v>1410302.258458849</v>
      </c>
      <c r="N37" s="117"/>
      <c r="O37" s="118">
        <f t="shared" si="5"/>
        <v>821533.64745854773</v>
      </c>
      <c r="P37" s="117"/>
      <c r="Q37" s="119">
        <f t="shared" si="3"/>
        <v>1.5545717438279458</v>
      </c>
      <c r="R37" s="116">
        <f>SUM(R25:R29,R35)</f>
        <v>2060138.9587293323</v>
      </c>
    </row>
    <row r="38" spans="1:25" s="9" customFormat="1" x14ac:dyDescent="0.25">
      <c r="B38" s="16"/>
      <c r="C38" s="17"/>
      <c r="D38" s="17"/>
      <c r="E38" s="17"/>
      <c r="F38" s="32"/>
      <c r="G38" s="32"/>
      <c r="H38" s="32"/>
      <c r="I38" s="109"/>
      <c r="J38" s="32"/>
      <c r="K38" s="58"/>
      <c r="L38" s="32"/>
      <c r="M38" s="32"/>
      <c r="N38" s="53"/>
      <c r="O38" s="56"/>
      <c r="P38" s="53"/>
      <c r="Q38" s="110"/>
      <c r="R38" s="111"/>
    </row>
    <row r="39" spans="1:25" s="2" customFormat="1" ht="30" x14ac:dyDescent="0.25">
      <c r="A39" s="100"/>
      <c r="B39" s="35" t="s">
        <v>67</v>
      </c>
      <c r="C39" s="36" t="s">
        <v>36</v>
      </c>
      <c r="D39" s="36" t="s">
        <v>1</v>
      </c>
      <c r="E39" s="36" t="s">
        <v>37</v>
      </c>
      <c r="F39" s="36" t="s">
        <v>72</v>
      </c>
      <c r="G39" s="36" t="s">
        <v>57</v>
      </c>
      <c r="H39" s="36" t="s">
        <v>38</v>
      </c>
      <c r="I39" s="36"/>
      <c r="J39" s="36" t="s">
        <v>39</v>
      </c>
      <c r="K39" s="36" t="s">
        <v>40</v>
      </c>
      <c r="L39" s="36" t="s">
        <v>41</v>
      </c>
      <c r="M39" s="36" t="s">
        <v>42</v>
      </c>
      <c r="N39" s="112"/>
      <c r="O39" s="128" t="s">
        <v>43</v>
      </c>
      <c r="P39" s="129"/>
      <c r="Q39" s="129"/>
      <c r="R39" s="77" t="s">
        <v>58</v>
      </c>
      <c r="S39" s="100"/>
      <c r="T39" s="100"/>
      <c r="U39" s="100"/>
      <c r="V39" s="100"/>
      <c r="W39" s="100"/>
      <c r="X39" s="100"/>
      <c r="Y39" s="100"/>
    </row>
    <row r="40" spans="1:25" x14ac:dyDescent="0.25">
      <c r="B40" s="41" t="s">
        <v>28</v>
      </c>
      <c r="C40" s="42"/>
      <c r="D40" s="42"/>
      <c r="E40" s="42"/>
      <c r="F40" s="42"/>
      <c r="G40" s="42"/>
      <c r="H40" s="73"/>
      <c r="I40" s="42"/>
      <c r="J40" s="42"/>
      <c r="K40" s="66"/>
      <c r="L40" s="42"/>
      <c r="M40" s="42"/>
      <c r="N40" s="108"/>
      <c r="O40" s="121">
        <f t="shared" si="5"/>
        <v>0</v>
      </c>
      <c r="P40" s="108"/>
      <c r="Q40" s="126"/>
      <c r="R40" s="127"/>
    </row>
    <row r="41" spans="1:25" x14ac:dyDescent="0.25">
      <c r="B41" s="41" t="s">
        <v>29</v>
      </c>
      <c r="C41" s="42">
        <v>-1521697</v>
      </c>
      <c r="D41" s="121">
        <v>-1482122.69</v>
      </c>
      <c r="E41" s="42">
        <v>-1521536</v>
      </c>
      <c r="F41" s="121">
        <f>-679812.9</f>
        <v>-679812.9</v>
      </c>
      <c r="G41" s="42">
        <f t="shared" ref="G41" si="15">F41-E41</f>
        <v>841723.1</v>
      </c>
      <c r="H41" s="73">
        <v>-1359625.8</v>
      </c>
      <c r="I41" s="121"/>
      <c r="J41" s="42">
        <v>-1620336</v>
      </c>
      <c r="K41" s="66"/>
      <c r="L41" s="42">
        <v>-1900000</v>
      </c>
      <c r="M41" s="42">
        <f>L41</f>
        <v>-1900000</v>
      </c>
      <c r="N41" s="108"/>
      <c r="O41" s="121">
        <f t="shared" si="5"/>
        <v>-98800</v>
      </c>
      <c r="P41" s="108"/>
      <c r="Q41" s="126">
        <f t="shared" si="3"/>
        <v>6.4934382098090354E-2</v>
      </c>
      <c r="R41" s="127">
        <f t="shared" ref="R41" si="16">H41-E41</f>
        <v>161910.19999999995</v>
      </c>
    </row>
    <row r="42" spans="1:25" x14ac:dyDescent="0.25">
      <c r="B42" s="41"/>
      <c r="C42" s="42"/>
      <c r="D42" s="121"/>
      <c r="E42" s="42"/>
      <c r="F42" s="121"/>
      <c r="G42" s="121"/>
      <c r="H42" s="73"/>
      <c r="I42" s="121"/>
      <c r="J42" s="42"/>
      <c r="K42" s="66"/>
      <c r="L42" s="42"/>
      <c r="M42" s="42"/>
      <c r="N42" s="108"/>
      <c r="O42" s="121"/>
      <c r="P42" s="108"/>
      <c r="Q42" s="126"/>
      <c r="R42" s="127"/>
    </row>
    <row r="43" spans="1:25" x14ac:dyDescent="0.25">
      <c r="B43" s="45" t="s">
        <v>31</v>
      </c>
      <c r="C43" s="46">
        <f>C37+C41</f>
        <v>1565322</v>
      </c>
      <c r="D43" s="48">
        <f>SUM(D37,D41)</f>
        <v>470253.55999999656</v>
      </c>
      <c r="E43" s="48">
        <f>SUM(E37,E41)</f>
        <v>-993073</v>
      </c>
      <c r="F43" s="48">
        <f>SUM(F37,F41)</f>
        <v>211301.79000000062</v>
      </c>
      <c r="G43" s="48">
        <f>SUM(G37,G41)</f>
        <v>1204374.7900000005</v>
      </c>
      <c r="H43" s="48">
        <f>SUM(H37,H41)</f>
        <v>1228976.1587293281</v>
      </c>
      <c r="I43" s="86">
        <f>(H43-D43)/D43</f>
        <v>1.6134329716277684</v>
      </c>
      <c r="J43" s="122">
        <f>SUM(J37,J41)</f>
        <v>-270339.35254145227</v>
      </c>
      <c r="K43" s="64">
        <v>-11.8</v>
      </c>
      <c r="L43" s="122">
        <f>SUM(L37,L41)</f>
        <v>-714530.55706575327</v>
      </c>
      <c r="M43" s="122">
        <f>SUM(M37,M41)</f>
        <v>-489697.74154115096</v>
      </c>
      <c r="N43" s="108"/>
      <c r="O43" s="121">
        <f t="shared" si="5"/>
        <v>722733.64745854773</v>
      </c>
      <c r="P43" s="108"/>
      <c r="Q43" s="126">
        <f t="shared" si="3"/>
        <v>-0.72777494449909297</v>
      </c>
      <c r="R43" s="127">
        <f>SUM(R37,R41)</f>
        <v>2222049.1587293325</v>
      </c>
    </row>
    <row r="44" spans="1:25" x14ac:dyDescent="0.25">
      <c r="B44" s="39"/>
      <c r="C44" s="40"/>
      <c r="D44" s="122"/>
      <c r="E44" s="122"/>
      <c r="F44" s="122"/>
      <c r="G44" s="122"/>
      <c r="H44" s="122"/>
      <c r="I44" s="80"/>
      <c r="J44" s="122"/>
      <c r="K44" s="64"/>
      <c r="L44" s="122"/>
      <c r="M44" s="122"/>
      <c r="N44" s="108"/>
      <c r="O44" s="121"/>
      <c r="P44" s="108"/>
      <c r="Q44" s="126"/>
      <c r="R44" s="127"/>
    </row>
    <row r="45" spans="1:25" x14ac:dyDescent="0.25">
      <c r="B45" s="41" t="s">
        <v>32</v>
      </c>
      <c r="C45" s="42">
        <v>39122</v>
      </c>
      <c r="D45" s="121">
        <v>17545.68</v>
      </c>
      <c r="E45" s="42">
        <v>39100</v>
      </c>
      <c r="F45" s="121">
        <v>0</v>
      </c>
      <c r="G45" s="42">
        <f t="shared" ref="G45" si="17">F45-E45</f>
        <v>-39100</v>
      </c>
      <c r="H45" s="42">
        <f t="shared" ref="H45" si="18">F45*4</f>
        <v>0</v>
      </c>
      <c r="I45" s="121"/>
      <c r="J45" s="42">
        <v>0</v>
      </c>
      <c r="K45" s="66"/>
      <c r="L45" s="42">
        <v>0</v>
      </c>
      <c r="M45" s="42">
        <v>0</v>
      </c>
      <c r="N45" s="108"/>
      <c r="O45" s="121">
        <f t="shared" si="5"/>
        <v>-39100</v>
      </c>
      <c r="P45" s="108"/>
      <c r="Q45" s="126">
        <f t="shared" si="3"/>
        <v>-1</v>
      </c>
      <c r="R45" s="127">
        <f>H45-E45</f>
        <v>-39100</v>
      </c>
    </row>
    <row r="46" spans="1:25" hidden="1" x14ac:dyDescent="0.25">
      <c r="B46" s="41" t="s">
        <v>44</v>
      </c>
      <c r="C46" s="42"/>
      <c r="D46" s="121"/>
      <c r="E46" s="42"/>
      <c r="F46" s="121"/>
      <c r="G46" s="121"/>
      <c r="H46" s="121"/>
      <c r="I46" s="121"/>
      <c r="J46" s="42"/>
      <c r="K46" s="66"/>
      <c r="L46" s="42"/>
      <c r="M46" s="42"/>
      <c r="N46" s="108"/>
      <c r="O46" s="121">
        <f t="shared" si="5"/>
        <v>0</v>
      </c>
      <c r="P46" s="108"/>
      <c r="Q46" s="126"/>
      <c r="R46" s="127"/>
    </row>
    <row r="47" spans="1:25" hidden="1" x14ac:dyDescent="0.25">
      <c r="B47" s="41" t="s">
        <v>45</v>
      </c>
      <c r="C47" s="42"/>
      <c r="D47" s="121"/>
      <c r="E47" s="42"/>
      <c r="F47" s="121"/>
      <c r="G47" s="121"/>
      <c r="H47" s="121"/>
      <c r="I47" s="121"/>
      <c r="J47" s="42"/>
      <c r="K47" s="66"/>
      <c r="L47" s="42"/>
      <c r="M47" s="42"/>
      <c r="N47" s="108"/>
      <c r="O47" s="121">
        <f t="shared" si="5"/>
        <v>0</v>
      </c>
      <c r="P47" s="108"/>
      <c r="Q47" s="126"/>
      <c r="R47" s="127"/>
    </row>
    <row r="48" spans="1:25" x14ac:dyDescent="0.25">
      <c r="B48" s="41"/>
      <c r="C48" s="42"/>
      <c r="D48" s="121"/>
      <c r="E48" s="42"/>
      <c r="F48" s="121"/>
      <c r="G48" s="121"/>
      <c r="H48" s="121"/>
      <c r="I48" s="121"/>
      <c r="J48" s="42"/>
      <c r="K48" s="66"/>
      <c r="L48" s="42"/>
      <c r="M48" s="42"/>
      <c r="N48" s="108"/>
      <c r="O48" s="121"/>
      <c r="P48" s="108"/>
      <c r="Q48" s="126"/>
      <c r="R48" s="127"/>
    </row>
    <row r="49" spans="2:18" x14ac:dyDescent="0.25">
      <c r="B49" s="45" t="s">
        <v>33</v>
      </c>
      <c r="C49" s="46">
        <f>C43+C45</f>
        <v>1604444</v>
      </c>
      <c r="D49" s="48">
        <f>SUM(D43:D45)</f>
        <v>487799.23999999656</v>
      </c>
      <c r="E49" s="48">
        <f>SUM(E43:E45)</f>
        <v>-953973</v>
      </c>
      <c r="F49" s="48">
        <f>SUM(F43:F45)</f>
        <v>211301.79000000062</v>
      </c>
      <c r="G49" s="48">
        <f>SUM(G43:G45)</f>
        <v>1165274.7900000005</v>
      </c>
      <c r="H49" s="48">
        <f>SUM(H43:H45)</f>
        <v>1228976.1587293281</v>
      </c>
      <c r="I49" s="86">
        <f>(H49-D49)/D49</f>
        <v>1.5194302449699117</v>
      </c>
      <c r="J49" s="122">
        <f>SUM(J43:J45)</f>
        <v>-270339.35254145227</v>
      </c>
      <c r="K49" s="64">
        <v>-12.2</v>
      </c>
      <c r="L49" s="122">
        <f>SUM(L43:L45)</f>
        <v>-714530.55706575327</v>
      </c>
      <c r="M49" s="122">
        <f>SUM(M43:M45)</f>
        <v>-489697.74154115096</v>
      </c>
      <c r="N49" s="108"/>
      <c r="O49" s="121">
        <f t="shared" si="5"/>
        <v>683633.64745854773</v>
      </c>
      <c r="P49" s="108"/>
      <c r="Q49" s="126">
        <f t="shared" si="3"/>
        <v>-0.71661739636084854</v>
      </c>
      <c r="R49" s="127">
        <f>SUM(R43:R45)</f>
        <v>2182949.1587293325</v>
      </c>
    </row>
    <row r="50" spans="2:18" s="9" customFormat="1" x14ac:dyDescent="0.25">
      <c r="B50" s="108"/>
      <c r="C50" s="108"/>
      <c r="D50" s="108"/>
      <c r="E50" s="108"/>
      <c r="F50" s="108"/>
      <c r="G50" s="108"/>
      <c r="H50" s="108"/>
      <c r="I50" s="108"/>
      <c r="J50" s="108"/>
      <c r="K50" s="108"/>
      <c r="L50" s="108"/>
      <c r="M50" s="108"/>
      <c r="N50" s="108"/>
      <c r="O50" s="108"/>
      <c r="P50" s="108"/>
      <c r="Q50" s="108"/>
      <c r="R50" s="108"/>
    </row>
    <row r="51" spans="2:18" hidden="1" x14ac:dyDescent="0.25">
      <c r="B51" s="20"/>
      <c r="C51" s="20"/>
      <c r="D51" s="20"/>
      <c r="E51" s="20"/>
      <c r="F51" s="20"/>
      <c r="G51" s="20"/>
      <c r="H51" s="20"/>
      <c r="I51" s="20"/>
      <c r="J51" s="20"/>
      <c r="K51" s="20"/>
      <c r="L51" s="20"/>
      <c r="M51" s="20"/>
      <c r="N51" s="20"/>
      <c r="O51" s="20"/>
      <c r="P51" s="20"/>
      <c r="Q51" s="20"/>
      <c r="R51" s="20"/>
    </row>
    <row r="52" spans="2:18" ht="30" x14ac:dyDescent="0.25">
      <c r="B52" s="35" t="s">
        <v>67</v>
      </c>
      <c r="C52" s="36" t="s">
        <v>36</v>
      </c>
      <c r="D52" s="36" t="s">
        <v>1</v>
      </c>
      <c r="E52" s="36" t="s">
        <v>37</v>
      </c>
      <c r="F52" s="36" t="s">
        <v>72</v>
      </c>
      <c r="G52" s="36" t="s">
        <v>57</v>
      </c>
      <c r="H52" s="36" t="s">
        <v>38</v>
      </c>
      <c r="I52" s="36"/>
      <c r="J52" s="36" t="s">
        <v>39</v>
      </c>
      <c r="K52" s="36" t="s">
        <v>40</v>
      </c>
      <c r="L52" s="36" t="s">
        <v>41</v>
      </c>
      <c r="M52" s="36" t="s">
        <v>42</v>
      </c>
      <c r="N52" s="112"/>
      <c r="O52" s="112"/>
      <c r="P52" s="112"/>
      <c r="Q52" s="112"/>
      <c r="R52" s="77" t="s">
        <v>58</v>
      </c>
    </row>
    <row r="53" spans="2:18" x14ac:dyDescent="0.25">
      <c r="B53" s="50" t="s">
        <v>46</v>
      </c>
      <c r="C53" s="51">
        <f>C12/C23</f>
        <v>-0.18380521377292788</v>
      </c>
      <c r="D53" s="51">
        <f>D12/D23</f>
        <v>-0.17981497554022927</v>
      </c>
      <c r="E53" s="51">
        <f>E12/E23</f>
        <v>-0.17267146677760278</v>
      </c>
      <c r="F53" s="51">
        <f>F12/F23</f>
        <v>-0.1648196321013527</v>
      </c>
      <c r="G53" s="70">
        <f>F53-E53</f>
        <v>7.8518346762500857E-3</v>
      </c>
      <c r="H53" s="133">
        <f>H12/H23</f>
        <v>-0.17795316601633249</v>
      </c>
      <c r="I53" s="51"/>
      <c r="J53" s="51">
        <f t="shared" ref="J53:M53" si="19">J12/J23</f>
        <v>-0.28908192473216471</v>
      </c>
      <c r="K53" s="88" t="s">
        <v>47</v>
      </c>
      <c r="L53" s="51">
        <f t="shared" si="19"/>
        <v>-0.28908192473216471</v>
      </c>
      <c r="M53" s="51">
        <f t="shared" si="19"/>
        <v>-0.28908192473216471</v>
      </c>
      <c r="N53" s="50"/>
      <c r="O53" s="50"/>
      <c r="P53" s="50"/>
      <c r="Q53" s="50"/>
      <c r="R53" s="116">
        <f t="shared" ref="R53:R56" si="20">H53-E53</f>
        <v>-5.2816992387297035E-3</v>
      </c>
    </row>
    <row r="54" spans="2:18" x14ac:dyDescent="0.25">
      <c r="B54" s="50" t="s">
        <v>48</v>
      </c>
      <c r="C54" s="52">
        <f>C37/-C41</f>
        <v>2.0286686508549336</v>
      </c>
      <c r="D54" s="52">
        <f>D37/-D41</f>
        <v>1.3172838275622085</v>
      </c>
      <c r="E54" s="52">
        <f>E37/-E41</f>
        <v>0.34732204824598301</v>
      </c>
      <c r="F54" s="52">
        <f>F37/-F41</f>
        <v>1.3108234486282926</v>
      </c>
      <c r="G54" s="61">
        <f>F54-E54</f>
        <v>0.96350140038230958</v>
      </c>
      <c r="H54" s="134">
        <f>H37/-H41</f>
        <v>1.9039076477728858</v>
      </c>
      <c r="I54" s="52"/>
      <c r="J54" s="52">
        <f t="shared" ref="J54:M54" si="21">J37/-J41</f>
        <v>0.83315846062702292</v>
      </c>
      <c r="K54" s="88" t="s">
        <v>49</v>
      </c>
      <c r="L54" s="52">
        <f t="shared" si="21"/>
        <v>0.62393128575486667</v>
      </c>
      <c r="M54" s="52">
        <f t="shared" si="21"/>
        <v>0.74226434655728901</v>
      </c>
      <c r="N54" s="50"/>
      <c r="O54" s="50"/>
      <c r="P54" s="50"/>
      <c r="Q54" s="50"/>
      <c r="R54" s="116">
        <f t="shared" si="20"/>
        <v>1.5565855995269029</v>
      </c>
    </row>
    <row r="55" spans="2:18" x14ac:dyDescent="0.25">
      <c r="B55" s="50" t="s">
        <v>50</v>
      </c>
      <c r="C55" s="47">
        <f>C37/C56</f>
        <v>706.89695443095945</v>
      </c>
      <c r="D55" s="47">
        <f>D37/D56</f>
        <v>439.32858910891008</v>
      </c>
      <c r="E55" s="47">
        <f>E37/E56</f>
        <v>118.22438478747203</v>
      </c>
      <c r="F55" s="47">
        <f>F37/F56</f>
        <v>199.35451677852365</v>
      </c>
      <c r="G55" s="43">
        <f>F55-E55</f>
        <v>81.130131991051613</v>
      </c>
      <c r="H55" s="132">
        <f>H37/H56</f>
        <v>575.24487971762846</v>
      </c>
      <c r="I55" s="47"/>
      <c r="J55" s="47">
        <f t="shared" ref="J55:M55" si="22">J37/J56</f>
        <v>297.35608974857877</v>
      </c>
      <c r="K55" s="89">
        <f>J55-H55</f>
        <v>-277.8887899690497</v>
      </c>
      <c r="L55" s="47">
        <f t="shared" si="22"/>
        <v>258.83612291140759</v>
      </c>
      <c r="M55" s="47">
        <f t="shared" si="22"/>
        <v>305.26022910364696</v>
      </c>
      <c r="N55" s="50"/>
      <c r="O55" s="50"/>
      <c r="P55" s="50"/>
      <c r="Q55" s="50"/>
      <c r="R55" s="116">
        <f>H55-E55</f>
        <v>457.02049493015642</v>
      </c>
    </row>
    <row r="56" spans="2:18" x14ac:dyDescent="0.25">
      <c r="B56" s="50" t="s">
        <v>51</v>
      </c>
      <c r="C56" s="47">
        <v>4367</v>
      </c>
      <c r="D56" s="47">
        <v>4444</v>
      </c>
      <c r="E56" s="47">
        <v>4470</v>
      </c>
      <c r="F56" s="47">
        <v>4470</v>
      </c>
      <c r="G56" s="43">
        <f>F56-E56</f>
        <v>0</v>
      </c>
      <c r="H56" s="132">
        <v>4500</v>
      </c>
      <c r="I56" s="47"/>
      <c r="J56" s="47">
        <f>H56+40</f>
        <v>4540</v>
      </c>
      <c r="K56" s="90">
        <f>J56-H56</f>
        <v>40</v>
      </c>
      <c r="L56" s="47">
        <f>J56+40</f>
        <v>4580</v>
      </c>
      <c r="M56" s="47">
        <f>L56+40</f>
        <v>4620</v>
      </c>
      <c r="N56" s="50"/>
      <c r="O56" s="50"/>
      <c r="P56" s="50"/>
      <c r="Q56" s="50"/>
      <c r="R56" s="116">
        <f t="shared" si="20"/>
        <v>30</v>
      </c>
    </row>
    <row r="57" spans="2:18" s="9" customFormat="1" x14ac:dyDescent="0.25">
      <c r="B57" s="5"/>
      <c r="C57" s="5"/>
      <c r="D57" s="5"/>
      <c r="E57" s="5"/>
      <c r="F57" s="5"/>
      <c r="G57" s="5"/>
      <c r="H57" s="5"/>
      <c r="I57" s="5"/>
      <c r="J57" s="5"/>
      <c r="K57" s="5"/>
      <c r="L57" s="5"/>
      <c r="M57" s="5"/>
      <c r="N57" s="5"/>
    </row>
    <row r="58" spans="2:18" s="9" customFormat="1" x14ac:dyDescent="0.25">
      <c r="B58" s="5"/>
      <c r="C58" s="5"/>
      <c r="D58" s="5"/>
      <c r="E58" s="5"/>
      <c r="F58" s="5"/>
      <c r="G58" s="5"/>
      <c r="H58" s="5"/>
      <c r="I58" s="5"/>
      <c r="J58" s="5"/>
      <c r="K58" s="5"/>
      <c r="L58" s="5"/>
      <c r="M58" s="5"/>
      <c r="N58" s="5"/>
    </row>
    <row r="59" spans="2:18" s="9" customFormat="1" hidden="1" x14ac:dyDescent="0.25">
      <c r="B59" s="124" t="s">
        <v>52</v>
      </c>
      <c r="C59" s="125" t="s">
        <v>53</v>
      </c>
      <c r="D59" s="5"/>
      <c r="E59" s="5"/>
      <c r="F59" s="5"/>
      <c r="G59" s="5"/>
      <c r="H59" s="5"/>
      <c r="I59" s="5"/>
      <c r="J59" s="5"/>
      <c r="K59" s="5"/>
      <c r="L59" s="5"/>
      <c r="M59" s="5"/>
      <c r="N59" s="5"/>
    </row>
    <row r="60" spans="2:18" s="9" customFormat="1" hidden="1" x14ac:dyDescent="0.25">
      <c r="B60" s="5" t="s">
        <v>19</v>
      </c>
      <c r="C60" s="13">
        <f>J28</f>
        <v>11042933.647458548</v>
      </c>
      <c r="D60" s="13"/>
      <c r="E60" s="5"/>
      <c r="F60" s="5"/>
      <c r="G60" s="5"/>
      <c r="H60" s="5"/>
      <c r="I60" s="5"/>
      <c r="J60" s="5" t="s">
        <v>54</v>
      </c>
      <c r="K60" s="5"/>
      <c r="L60" s="5"/>
      <c r="M60" s="5"/>
      <c r="N60" s="5"/>
    </row>
    <row r="61" spans="2:18" s="9" customFormat="1" hidden="1" x14ac:dyDescent="0.25">
      <c r="B61" s="5" t="s">
        <v>20</v>
      </c>
      <c r="C61" s="13">
        <f>J29</f>
        <v>2638164</v>
      </c>
      <c r="D61" s="13"/>
      <c r="E61" s="5"/>
      <c r="F61" s="5"/>
      <c r="G61" s="5"/>
      <c r="H61" s="5"/>
      <c r="I61" s="5"/>
      <c r="J61" s="5">
        <v>2273796.4300000002</v>
      </c>
      <c r="K61" s="5"/>
      <c r="L61" s="13">
        <f>SUM(H49:M49)</f>
        <v>-245602.17298878334</v>
      </c>
      <c r="M61" s="13">
        <f>L61+J61</f>
        <v>2028194.2570112168</v>
      </c>
      <c r="N61" s="5"/>
    </row>
    <row r="62" spans="2:18" s="9" customFormat="1" hidden="1" x14ac:dyDescent="0.25">
      <c r="B62" s="5" t="s">
        <v>55</v>
      </c>
      <c r="C62" s="13">
        <f>J35</f>
        <v>-147483</v>
      </c>
      <c r="D62" s="13"/>
      <c r="E62" s="5"/>
      <c r="F62" s="5"/>
      <c r="G62" s="5"/>
      <c r="H62" s="5"/>
      <c r="I62" s="5"/>
      <c r="J62" s="5"/>
      <c r="K62" s="5"/>
      <c r="L62" s="5"/>
      <c r="M62" s="5"/>
      <c r="N62" s="5"/>
    </row>
    <row r="63" spans="2:18" s="9" customFormat="1" hidden="1" x14ac:dyDescent="0.25">
      <c r="B63" s="5" t="s">
        <v>30</v>
      </c>
      <c r="C63" s="5">
        <v>0</v>
      </c>
      <c r="D63" s="5"/>
      <c r="E63" s="5"/>
      <c r="F63" s="5"/>
      <c r="G63" s="5"/>
      <c r="H63" s="5"/>
      <c r="I63" s="5"/>
      <c r="J63" s="5"/>
      <c r="K63" s="5"/>
      <c r="L63" s="5"/>
      <c r="M63" s="5"/>
      <c r="N63" s="5"/>
    </row>
    <row r="64" spans="2:18" s="9" customFormat="1" hidden="1" x14ac:dyDescent="0.25">
      <c r="B64" s="5" t="s">
        <v>56</v>
      </c>
      <c r="C64" s="13">
        <f>J45</f>
        <v>0</v>
      </c>
      <c r="D64" s="13"/>
      <c r="E64" s="5"/>
      <c r="F64" s="5"/>
      <c r="G64" s="5"/>
      <c r="H64" s="5"/>
      <c r="I64" s="5"/>
      <c r="J64" s="5"/>
      <c r="K64" s="5"/>
      <c r="L64" s="5"/>
      <c r="M64" s="5"/>
      <c r="N64" s="5"/>
    </row>
    <row r="65" s="9" customFormat="1" x14ac:dyDescent="0.25"/>
    <row r="66" s="9" customFormat="1" x14ac:dyDescent="0.25"/>
    <row r="67" s="9" customFormat="1" ht="15.75" customHeight="1" x14ac:dyDescent="0.25"/>
    <row r="68" s="9" customFormat="1" x14ac:dyDescent="0.25"/>
    <row r="69" s="9" customFormat="1" x14ac:dyDescent="0.25"/>
    <row r="70" s="9" customFormat="1" x14ac:dyDescent="0.25"/>
    <row r="71" s="9" customFormat="1" x14ac:dyDescent="0.25"/>
    <row r="72" s="9" customFormat="1" x14ac:dyDescent="0.25"/>
    <row r="73" s="9" customFormat="1" x14ac:dyDescent="0.25"/>
    <row r="74" s="9" customFormat="1" x14ac:dyDescent="0.25"/>
    <row r="75" s="9" customFormat="1" x14ac:dyDescent="0.25"/>
    <row r="76" s="9" customFormat="1" x14ac:dyDescent="0.25"/>
    <row r="77" s="9" customFormat="1" x14ac:dyDescent="0.25"/>
    <row r="78" s="9" customFormat="1" x14ac:dyDescent="0.25"/>
    <row r="79" s="9" customFormat="1" x14ac:dyDescent="0.25"/>
    <row r="80" s="9" customFormat="1" x14ac:dyDescent="0.25"/>
    <row r="81" s="9" customFormat="1" x14ac:dyDescent="0.25"/>
    <row r="82" s="9" customFormat="1" x14ac:dyDescent="0.25"/>
    <row r="83" s="9" customFormat="1" x14ac:dyDescent="0.25"/>
    <row r="84" s="9" customFormat="1" x14ac:dyDescent="0.25"/>
    <row r="85" s="9" customFormat="1" x14ac:dyDescent="0.25"/>
    <row r="86" s="9" customFormat="1" x14ac:dyDescent="0.25"/>
    <row r="87" s="9" customFormat="1" x14ac:dyDescent="0.25"/>
    <row r="88" s="9" customFormat="1" x14ac:dyDescent="0.25"/>
    <row r="89" s="9" customFormat="1" x14ac:dyDescent="0.25"/>
    <row r="90" s="9" customFormat="1" x14ac:dyDescent="0.25"/>
    <row r="91" s="9" customFormat="1" x14ac:dyDescent="0.25"/>
    <row r="92" s="9" customFormat="1" x14ac:dyDescent="0.25"/>
    <row r="93" s="9" customFormat="1" x14ac:dyDescent="0.25"/>
    <row r="94" s="9" customFormat="1" x14ac:dyDescent="0.25"/>
    <row r="95" s="9" customFormat="1" x14ac:dyDescent="0.25"/>
    <row r="96" s="9" customFormat="1" x14ac:dyDescent="0.25"/>
    <row r="97" s="9" customFormat="1" x14ac:dyDescent="0.25"/>
    <row r="98" s="9" customFormat="1" x14ac:dyDescent="0.25"/>
    <row r="99" s="9" customFormat="1" x14ac:dyDescent="0.25"/>
    <row r="100" s="9" customFormat="1" x14ac:dyDescent="0.25"/>
    <row r="101" s="9" customFormat="1" x14ac:dyDescent="0.25"/>
    <row r="102" s="9" customFormat="1" x14ac:dyDescent="0.25"/>
    <row r="103" s="9" customFormat="1" x14ac:dyDescent="0.25"/>
    <row r="104" s="9" customFormat="1" x14ac:dyDescent="0.25"/>
    <row r="105" s="9" customFormat="1" x14ac:dyDescent="0.25"/>
    <row r="106" s="9" customFormat="1" x14ac:dyDescent="0.25"/>
    <row r="107" s="9" customFormat="1" x14ac:dyDescent="0.25"/>
    <row r="108" s="9" customFormat="1" x14ac:dyDescent="0.25"/>
    <row r="109" s="9" customFormat="1" x14ac:dyDescent="0.25"/>
    <row r="110" s="9" customFormat="1" x14ac:dyDescent="0.25"/>
    <row r="111" s="9" customFormat="1" x14ac:dyDescent="0.25"/>
    <row r="112" s="9" customFormat="1" x14ac:dyDescent="0.25"/>
    <row r="113" s="9" customFormat="1" x14ac:dyDescent="0.25"/>
    <row r="114" s="9" customFormat="1" x14ac:dyDescent="0.25"/>
    <row r="115" s="9" customFormat="1" x14ac:dyDescent="0.25"/>
    <row r="116" s="9" customFormat="1" x14ac:dyDescent="0.25"/>
    <row r="117" s="9" customFormat="1" x14ac:dyDescent="0.25"/>
    <row r="118" s="9" customFormat="1" x14ac:dyDescent="0.25"/>
    <row r="119" s="9" customFormat="1" x14ac:dyDescent="0.25"/>
    <row r="120" s="9" customFormat="1" x14ac:dyDescent="0.25"/>
    <row r="121" s="9" customFormat="1" x14ac:dyDescent="0.25"/>
    <row r="122" s="9" customFormat="1" x14ac:dyDescent="0.25"/>
    <row r="123" s="9" customFormat="1" x14ac:dyDescent="0.25"/>
    <row r="124" s="9" customFormat="1" x14ac:dyDescent="0.25"/>
    <row r="125" s="9" customFormat="1" x14ac:dyDescent="0.25"/>
    <row r="126" s="9" customFormat="1" x14ac:dyDescent="0.25"/>
    <row r="127" s="9" customFormat="1" x14ac:dyDescent="0.25"/>
    <row r="128" s="9" customFormat="1" x14ac:dyDescent="0.25"/>
    <row r="129" s="9" customFormat="1" x14ac:dyDescent="0.25"/>
    <row r="130" s="9" customFormat="1" x14ac:dyDescent="0.25"/>
    <row r="131" s="9" customFormat="1" x14ac:dyDescent="0.25"/>
    <row r="132" s="9" customFormat="1" x14ac:dyDescent="0.25"/>
    <row r="133" s="9" customFormat="1" x14ac:dyDescent="0.25"/>
    <row r="134" s="9" customFormat="1" x14ac:dyDescent="0.25"/>
    <row r="135" s="9" customFormat="1" x14ac:dyDescent="0.25"/>
    <row r="136" s="9" customFormat="1" x14ac:dyDescent="0.25"/>
    <row r="137" s="9" customFormat="1" x14ac:dyDescent="0.25"/>
    <row r="138" s="9" customFormat="1" x14ac:dyDescent="0.25"/>
    <row r="139" s="9" customFormat="1" x14ac:dyDescent="0.25"/>
    <row r="140" s="9" customFormat="1" x14ac:dyDescent="0.25"/>
    <row r="141" s="9" customFormat="1" x14ac:dyDescent="0.25"/>
    <row r="142" s="9" customFormat="1" x14ac:dyDescent="0.25"/>
    <row r="143" s="9" customFormat="1" x14ac:dyDescent="0.25"/>
    <row r="144" s="9" customFormat="1" x14ac:dyDescent="0.25"/>
    <row r="145" s="9" customFormat="1" x14ac:dyDescent="0.25"/>
    <row r="146" s="9" customFormat="1" x14ac:dyDescent="0.25"/>
    <row r="147" s="9" customFormat="1" x14ac:dyDescent="0.25"/>
    <row r="148" s="9" customFormat="1" x14ac:dyDescent="0.25"/>
    <row r="149" s="9" customFormat="1" x14ac:dyDescent="0.25"/>
    <row r="150" s="9" customFormat="1" x14ac:dyDescent="0.25"/>
    <row r="151" s="9" customFormat="1" x14ac:dyDescent="0.25"/>
    <row r="152" s="9" customFormat="1" x14ac:dyDescent="0.25"/>
    <row r="153" s="9" customFormat="1" x14ac:dyDescent="0.25"/>
    <row r="154" s="9" customFormat="1" x14ac:dyDescent="0.25"/>
    <row r="155" s="9" customFormat="1" x14ac:dyDescent="0.25"/>
    <row r="156" s="9" customFormat="1" x14ac:dyDescent="0.25"/>
    <row r="157" s="9" customFormat="1" x14ac:dyDescent="0.25"/>
    <row r="158" s="9" customFormat="1" x14ac:dyDescent="0.25"/>
    <row r="159" s="9" customFormat="1" x14ac:dyDescent="0.25"/>
    <row r="160" s="9" customFormat="1" x14ac:dyDescent="0.25"/>
    <row r="161" s="9" customFormat="1" x14ac:dyDescent="0.25"/>
    <row r="162" s="9" customFormat="1" x14ac:dyDescent="0.25"/>
    <row r="163" s="9" customFormat="1" x14ac:dyDescent="0.25"/>
    <row r="164" s="9" customFormat="1" x14ac:dyDescent="0.25"/>
    <row r="165" s="9" customFormat="1" x14ac:dyDescent="0.25"/>
    <row r="166" s="9" customFormat="1" x14ac:dyDescent="0.25"/>
    <row r="167" s="9" customFormat="1" x14ac:dyDescent="0.25"/>
    <row r="168" s="9" customFormat="1" x14ac:dyDescent="0.25"/>
    <row r="169" s="9" customFormat="1" x14ac:dyDescent="0.25"/>
    <row r="170" s="9" customFormat="1" x14ac:dyDescent="0.25"/>
    <row r="171" s="9" customFormat="1" x14ac:dyDescent="0.25"/>
    <row r="172" s="9" customFormat="1" x14ac:dyDescent="0.25"/>
    <row r="173" s="9" customFormat="1" x14ac:dyDescent="0.25"/>
    <row r="174" s="9" customFormat="1" x14ac:dyDescent="0.25"/>
    <row r="175" s="9" customFormat="1" x14ac:dyDescent="0.25"/>
    <row r="176" s="9" customFormat="1" x14ac:dyDescent="0.25"/>
    <row r="177" s="9" customFormat="1" x14ac:dyDescent="0.25"/>
    <row r="178" s="9" customFormat="1" x14ac:dyDescent="0.25"/>
    <row r="179" s="9" customFormat="1" x14ac:dyDescent="0.25"/>
    <row r="180" s="9" customFormat="1" x14ac:dyDescent="0.25"/>
    <row r="181" s="9" customFormat="1" x14ac:dyDescent="0.25"/>
    <row r="182" s="9" customFormat="1" x14ac:dyDescent="0.25"/>
    <row r="183" s="9" customFormat="1" x14ac:dyDescent="0.25"/>
    <row r="184" s="9" customFormat="1" x14ac:dyDescent="0.25"/>
    <row r="185" s="9" customFormat="1" x14ac:dyDescent="0.25"/>
    <row r="186" s="9" customFormat="1" x14ac:dyDescent="0.25"/>
    <row r="187" s="9" customFormat="1" x14ac:dyDescent="0.25"/>
    <row r="188" s="9" customFormat="1" x14ac:dyDescent="0.25"/>
    <row r="189" s="9" customFormat="1" x14ac:dyDescent="0.25"/>
    <row r="190" s="9" customFormat="1" x14ac:dyDescent="0.25"/>
    <row r="191" s="9" customFormat="1" x14ac:dyDescent="0.25"/>
    <row r="192" s="9" customFormat="1" x14ac:dyDescent="0.25"/>
    <row r="193" s="9" customFormat="1" x14ac:dyDescent="0.25"/>
    <row r="194" s="9" customFormat="1" x14ac:dyDescent="0.25"/>
    <row r="195" s="9" customFormat="1" x14ac:dyDescent="0.25"/>
    <row r="196" s="9" customFormat="1" x14ac:dyDescent="0.25"/>
    <row r="197" s="9" customFormat="1" x14ac:dyDescent="0.25"/>
    <row r="198" s="9" customFormat="1" x14ac:dyDescent="0.25"/>
    <row r="199" s="9" customFormat="1" x14ac:dyDescent="0.25"/>
    <row r="200" s="9" customFormat="1" x14ac:dyDescent="0.25"/>
    <row r="201" s="9" customFormat="1" x14ac:dyDescent="0.25"/>
    <row r="202" s="9" customFormat="1" x14ac:dyDescent="0.25"/>
    <row r="203" s="9" customFormat="1" x14ac:dyDescent="0.25"/>
    <row r="204" s="9" customFormat="1" x14ac:dyDescent="0.25"/>
    <row r="205" s="9" customFormat="1" x14ac:dyDescent="0.25"/>
    <row r="206" s="9" customFormat="1" x14ac:dyDescent="0.25"/>
    <row r="207" s="9" customFormat="1" x14ac:dyDescent="0.25"/>
  </sheetData>
  <conditionalFormatting sqref="R8">
    <cfRule type="dataBar" priority="3">
      <dataBar>
        <cfvo type="min"/>
        <cfvo type="max"/>
        <color rgb="FF63C384"/>
      </dataBar>
      <extLst>
        <ext xmlns:x14="http://schemas.microsoft.com/office/spreadsheetml/2009/9/main" uri="{B025F937-C7B1-47D3-B67F-A62EFF666E3E}">
          <x14:id>{D0317949-5D95-420D-891F-9104952D9D3B}</x14:id>
        </ext>
      </extLst>
    </cfRule>
  </conditionalFormatting>
  <conditionalFormatting sqref="R9:R26 R28:R38 R40:R49">
    <cfRule type="dataBar" priority="2">
      <dataBar>
        <cfvo type="min"/>
        <cfvo type="max"/>
        <color rgb="FF63C384"/>
      </dataBar>
      <extLst>
        <ext xmlns:x14="http://schemas.microsoft.com/office/spreadsheetml/2009/9/main" uri="{B025F937-C7B1-47D3-B67F-A62EFF666E3E}">
          <x14:id>{05DF794C-9357-4667-8C24-655083F537CA}</x14:id>
        </ext>
      </extLst>
    </cfRule>
  </conditionalFormatting>
  <conditionalFormatting sqref="R53:R56">
    <cfRule type="dataBar" priority="1">
      <dataBar>
        <cfvo type="min"/>
        <cfvo type="max"/>
        <color rgb="FF63C384"/>
      </dataBar>
      <extLst>
        <ext xmlns:x14="http://schemas.microsoft.com/office/spreadsheetml/2009/9/main" uri="{B025F937-C7B1-47D3-B67F-A62EFF666E3E}">
          <x14:id>{446BBFBA-346B-4A71-B577-1E55DBCBCC76}</x14:id>
        </ext>
      </extLst>
    </cfRule>
  </conditionalFormatting>
  <printOptions gridLines="1"/>
  <pageMargins left="0.75" right="0.25" top="0.5" bottom="0.25" header="0.3" footer="0.3"/>
  <pageSetup paperSize="9" orientation="portrait" r:id="rId1"/>
  <ignoredErrors>
    <ignoredError sqref="I7:I26 I40:I49 I28:I38 G53:G55" formula="1"/>
  </ignoredErrors>
  <legacyDrawing r:id="rId2"/>
  <extLst>
    <ext xmlns:x14="http://schemas.microsoft.com/office/spreadsheetml/2009/9/main" uri="{78C0D931-6437-407d-A8EE-F0AAD7539E65}">
      <x14:conditionalFormattings>
        <x14:conditionalFormatting xmlns:xm="http://schemas.microsoft.com/office/excel/2006/main">
          <x14:cfRule type="dataBar" id="{D0317949-5D95-420D-891F-9104952D9D3B}">
            <x14:dataBar minLength="0" maxLength="100" gradient="0">
              <x14:cfvo type="autoMin"/>
              <x14:cfvo type="autoMax"/>
              <x14:negativeFillColor rgb="FFFF0000"/>
              <x14:axisColor rgb="FF000000"/>
            </x14:dataBar>
          </x14:cfRule>
          <xm:sqref>R8</xm:sqref>
        </x14:conditionalFormatting>
        <x14:conditionalFormatting xmlns:xm="http://schemas.microsoft.com/office/excel/2006/main">
          <x14:cfRule type="dataBar" id="{05DF794C-9357-4667-8C24-655083F537CA}">
            <x14:dataBar minLength="0" maxLength="100" gradient="0">
              <x14:cfvo type="autoMin"/>
              <x14:cfvo type="autoMax"/>
              <x14:negativeFillColor rgb="FFFF0000"/>
              <x14:axisColor rgb="FF000000"/>
            </x14:dataBar>
          </x14:cfRule>
          <xm:sqref>R9:R26 R28:R38 R40:R49</xm:sqref>
        </x14:conditionalFormatting>
        <x14:conditionalFormatting xmlns:xm="http://schemas.microsoft.com/office/excel/2006/main">
          <x14:cfRule type="dataBar" id="{446BBFBA-346B-4A71-B577-1E55DBCBCC76}">
            <x14:dataBar minLength="0" maxLength="100" gradient="0">
              <x14:cfvo type="autoMin"/>
              <x14:cfvo type="autoMax"/>
              <x14:negativeFillColor rgb="FFFF0000"/>
              <x14:axisColor rgb="FF000000"/>
            </x14:dataBar>
          </x14:cfRule>
          <xm:sqref>R53:R56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042BD-8355-4AE0-AB5D-551C97D1C187}">
  <dimension ref="A1:Y207"/>
  <sheetViews>
    <sheetView zoomScaleNormal="100" workbookViewId="0"/>
  </sheetViews>
  <sheetFormatPr defaultColWidth="9.140625" defaultRowHeight="15" x14ac:dyDescent="0.25"/>
  <cols>
    <col min="1" max="1" width="3.42578125" style="100" customWidth="1"/>
    <col min="2" max="2" width="32.85546875" style="1" customWidth="1"/>
    <col min="3" max="3" width="13.28515625" style="1" hidden="1" customWidth="1"/>
    <col min="4" max="8" width="11.7109375" style="1" customWidth="1"/>
    <col min="9" max="9" width="8.5703125" style="1" customWidth="1"/>
    <col min="10" max="12" width="13.28515625" style="1" hidden="1" customWidth="1"/>
    <col min="13" max="13" width="14.28515625" style="1" hidden="1" customWidth="1"/>
    <col min="14" max="14" width="0" style="1" hidden="1" customWidth="1"/>
    <col min="15" max="15" width="18.5703125" style="1" hidden="1" customWidth="1"/>
    <col min="16" max="16" width="0" style="1" hidden="1" customWidth="1"/>
    <col min="17" max="17" width="10.5703125" style="1" hidden="1" customWidth="1"/>
    <col min="18" max="18" width="13.140625" style="1" customWidth="1"/>
    <col min="19" max="19" width="8.85546875" style="100" bestFit="1" customWidth="1"/>
    <col min="20" max="25" width="9.140625" style="100"/>
    <col min="26" max="16384" width="9.140625" style="1"/>
  </cols>
  <sheetData>
    <row r="1" spans="1:25" s="100" customFormat="1" x14ac:dyDescent="0.25"/>
    <row r="2" spans="1:25" s="100" customFormat="1" x14ac:dyDescent="0.25">
      <c r="B2" s="102" t="s">
        <v>0</v>
      </c>
      <c r="E2" s="102" t="s">
        <v>34</v>
      </c>
      <c r="M2" s="103"/>
    </row>
    <row r="3" spans="1:25" s="100" customFormat="1" x14ac:dyDescent="0.25">
      <c r="B3" s="102" t="s">
        <v>35</v>
      </c>
      <c r="E3" s="102"/>
      <c r="H3" s="131" t="s">
        <v>76</v>
      </c>
      <c r="I3" s="104"/>
      <c r="J3" s="105"/>
    </row>
    <row r="4" spans="1:25" s="100" customFormat="1" x14ac:dyDescent="0.25">
      <c r="B4" s="102"/>
      <c r="E4" s="102"/>
      <c r="H4" s="104"/>
      <c r="I4" s="104"/>
      <c r="J4" s="105"/>
    </row>
    <row r="5" spans="1:25" ht="29.25" customHeight="1" x14ac:dyDescent="0.25">
      <c r="B5" s="35" t="s">
        <v>67</v>
      </c>
      <c r="C5" s="36" t="s">
        <v>36</v>
      </c>
      <c r="D5" s="36" t="s">
        <v>1</v>
      </c>
      <c r="E5" s="36" t="s">
        <v>37</v>
      </c>
      <c r="F5" s="36" t="s">
        <v>72</v>
      </c>
      <c r="G5" s="36" t="s">
        <v>57</v>
      </c>
      <c r="H5" s="36" t="s">
        <v>38</v>
      </c>
      <c r="I5" s="36"/>
      <c r="J5" s="36" t="s">
        <v>39</v>
      </c>
      <c r="K5" s="36" t="s">
        <v>40</v>
      </c>
      <c r="L5" s="36" t="s">
        <v>41</v>
      </c>
      <c r="M5" s="36" t="s">
        <v>42</v>
      </c>
      <c r="N5" s="112"/>
      <c r="O5" s="112"/>
      <c r="P5" s="112"/>
      <c r="Q5" s="112"/>
      <c r="R5" s="77" t="s">
        <v>58</v>
      </c>
    </row>
    <row r="6" spans="1:25" s="2" customFormat="1" ht="15" customHeight="1" x14ac:dyDescent="0.25">
      <c r="A6" s="100"/>
      <c r="B6" s="37"/>
      <c r="C6" s="38"/>
      <c r="D6" s="38"/>
      <c r="E6" s="38"/>
      <c r="F6" s="38"/>
      <c r="G6" s="38"/>
      <c r="H6" s="75"/>
      <c r="I6" s="38"/>
      <c r="J6" s="38"/>
      <c r="K6" s="38"/>
      <c r="L6" s="38"/>
      <c r="M6" s="38"/>
      <c r="N6" s="50"/>
      <c r="O6" s="113"/>
      <c r="P6" s="50"/>
      <c r="Q6" s="50"/>
      <c r="R6" s="40"/>
      <c r="S6" s="100"/>
      <c r="T6" s="100"/>
      <c r="U6" s="100"/>
      <c r="V6" s="100"/>
      <c r="W6" s="100"/>
      <c r="X6" s="100"/>
      <c r="Y6" s="100"/>
    </row>
    <row r="7" spans="1:25" s="3" customFormat="1" x14ac:dyDescent="0.25">
      <c r="A7" s="101"/>
      <c r="B7" s="39" t="s">
        <v>2</v>
      </c>
      <c r="C7" s="40"/>
      <c r="D7" s="40"/>
      <c r="E7" s="40"/>
      <c r="F7" s="40"/>
      <c r="G7" s="40"/>
      <c r="H7" s="76"/>
      <c r="I7" s="40"/>
      <c r="J7" s="40"/>
      <c r="K7" s="64"/>
      <c r="L7" s="80"/>
      <c r="M7" s="40"/>
      <c r="N7" s="114"/>
      <c r="O7" s="114"/>
      <c r="P7" s="114"/>
      <c r="Q7" s="114"/>
      <c r="R7" s="40"/>
      <c r="S7" s="101"/>
      <c r="T7" s="101"/>
      <c r="U7" s="101"/>
      <c r="V7" s="101"/>
      <c r="W7" s="101"/>
      <c r="X7" s="101"/>
      <c r="Y7" s="101"/>
    </row>
    <row r="8" spans="1:25" x14ac:dyDescent="0.25">
      <c r="B8" s="41" t="s">
        <v>3</v>
      </c>
      <c r="C8" s="42">
        <v>2566252</v>
      </c>
      <c r="D8" s="43">
        <v>2024120.76</v>
      </c>
      <c r="E8" s="42">
        <v>1985881</v>
      </c>
      <c r="F8" s="43">
        <v>903516.78</v>
      </c>
      <c r="G8" s="43">
        <f>F8-E8</f>
        <v>-1082364.22</v>
      </c>
      <c r="H8" s="130">
        <v>2076533.56</v>
      </c>
      <c r="I8" s="43"/>
      <c r="J8" s="43">
        <v>1474152</v>
      </c>
      <c r="K8" s="65">
        <v>6.3</v>
      </c>
      <c r="L8" s="43">
        <f>J8</f>
        <v>1474152</v>
      </c>
      <c r="M8" s="43">
        <f>L8</f>
        <v>1474152</v>
      </c>
      <c r="N8" s="50"/>
      <c r="O8" s="47">
        <f>J8-E8</f>
        <v>-511729</v>
      </c>
      <c r="P8" s="50"/>
      <c r="Q8" s="115">
        <f>O8/E8</f>
        <v>-0.25768361749772517</v>
      </c>
      <c r="R8" s="116">
        <f>H8-E8</f>
        <v>90652.560000000056</v>
      </c>
    </row>
    <row r="9" spans="1:25" x14ac:dyDescent="0.25">
      <c r="B9" s="41" t="s">
        <v>4</v>
      </c>
      <c r="C9" s="42">
        <v>478337</v>
      </c>
      <c r="D9" s="43">
        <v>528507.68999999994</v>
      </c>
      <c r="E9" s="42">
        <v>445164</v>
      </c>
      <c r="F9" s="43">
        <v>299022.96000000002</v>
      </c>
      <c r="G9" s="43">
        <f t="shared" ref="G9:G11" si="0">F9-E9</f>
        <v>-146141.03999999998</v>
      </c>
      <c r="H9" s="130">
        <v>548045.92000000004</v>
      </c>
      <c r="I9" s="43"/>
      <c r="J9" s="43">
        <v>450164</v>
      </c>
      <c r="K9" s="65">
        <v>-11.4</v>
      </c>
      <c r="L9" s="43">
        <f t="shared" ref="L9:L11" si="1">J9</f>
        <v>450164</v>
      </c>
      <c r="M9" s="43">
        <f t="shared" ref="M9:M11" si="2">L9</f>
        <v>450164</v>
      </c>
      <c r="N9" s="50"/>
      <c r="O9" s="47">
        <f>J9-E9</f>
        <v>5000</v>
      </c>
      <c r="P9" s="50"/>
      <c r="Q9" s="115">
        <f t="shared" ref="Q9:Q49" si="3">O9/E9</f>
        <v>1.1231815690397247E-2</v>
      </c>
      <c r="R9" s="116">
        <f t="shared" ref="R9:R11" si="4">H9-E9</f>
        <v>102881.92000000004</v>
      </c>
    </row>
    <row r="10" spans="1:25" x14ac:dyDescent="0.25">
      <c r="B10" s="41" t="s">
        <v>5</v>
      </c>
      <c r="C10" s="42">
        <v>200948</v>
      </c>
      <c r="D10" s="43">
        <v>314599.76</v>
      </c>
      <c r="E10" s="42">
        <v>385469</v>
      </c>
      <c r="F10" s="43">
        <v>139928.66</v>
      </c>
      <c r="G10" s="43">
        <f t="shared" si="0"/>
        <v>-245540.34</v>
      </c>
      <c r="H10" s="130">
        <v>424857.32</v>
      </c>
      <c r="I10" s="43"/>
      <c r="J10" s="43">
        <v>253026</v>
      </c>
      <c r="K10" s="65">
        <v>76</v>
      </c>
      <c r="L10" s="43">
        <f t="shared" si="1"/>
        <v>253026</v>
      </c>
      <c r="M10" s="43">
        <f t="shared" si="2"/>
        <v>253026</v>
      </c>
      <c r="N10" s="50"/>
      <c r="O10" s="47">
        <f t="shared" ref="O10:O49" si="5">J10-E10</f>
        <v>-132443</v>
      </c>
      <c r="P10" s="50"/>
      <c r="Q10" s="115">
        <f t="shared" si="3"/>
        <v>-0.34358923804508273</v>
      </c>
      <c r="R10" s="116">
        <f t="shared" si="4"/>
        <v>39388.320000000007</v>
      </c>
    </row>
    <row r="11" spans="1:25" x14ac:dyDescent="0.25">
      <c r="B11" s="41" t="s">
        <v>6</v>
      </c>
      <c r="C11" s="42">
        <v>2154038</v>
      </c>
      <c r="D11" s="43">
        <v>2483280.87</v>
      </c>
      <c r="E11" s="42">
        <v>2776905</v>
      </c>
      <c r="F11" s="43">
        <v>1283253.29</v>
      </c>
      <c r="G11" s="43">
        <f t="shared" si="0"/>
        <v>-1493651.71</v>
      </c>
      <c r="H11" s="130">
        <v>2606506.58</v>
      </c>
      <c r="I11" s="43"/>
      <c r="J11" s="43">
        <v>2776905</v>
      </c>
      <c r="K11" s="65">
        <v>14</v>
      </c>
      <c r="L11" s="43">
        <f t="shared" si="1"/>
        <v>2776905</v>
      </c>
      <c r="M11" s="43">
        <f t="shared" si="2"/>
        <v>2776905</v>
      </c>
      <c r="N11" s="50"/>
      <c r="O11" s="47">
        <f t="shared" si="5"/>
        <v>0</v>
      </c>
      <c r="P11" s="50"/>
      <c r="Q11" s="115">
        <f t="shared" si="3"/>
        <v>0</v>
      </c>
      <c r="R11" s="116">
        <f t="shared" si="4"/>
        <v>-170398.41999999993</v>
      </c>
    </row>
    <row r="12" spans="1:25" x14ac:dyDescent="0.25">
      <c r="B12" s="39" t="s">
        <v>7</v>
      </c>
      <c r="C12" s="40">
        <f t="shared" ref="C12:H12" si="6">SUM(C8:C11)</f>
        <v>5399575</v>
      </c>
      <c r="D12" s="44">
        <f t="shared" si="6"/>
        <v>5350509.08</v>
      </c>
      <c r="E12" s="44">
        <f t="shared" si="6"/>
        <v>5593419</v>
      </c>
      <c r="F12" s="44">
        <f>SUM(F8:F11)</f>
        <v>2625721.69</v>
      </c>
      <c r="G12" s="44">
        <f t="shared" si="6"/>
        <v>-2967697.31</v>
      </c>
      <c r="H12" s="76">
        <f t="shared" si="6"/>
        <v>5655943.3799999999</v>
      </c>
      <c r="I12" s="84">
        <f>(H12-D12)/D12</f>
        <v>5.7085091424608853E-2</v>
      </c>
      <c r="J12" s="44">
        <f>SUM(J8:J11)</f>
        <v>4954247</v>
      </c>
      <c r="K12" s="85">
        <v>11.3</v>
      </c>
      <c r="L12" s="44">
        <f>SUM(L8:L11)</f>
        <v>4954247</v>
      </c>
      <c r="M12" s="44">
        <f>SUM(M8:M11)</f>
        <v>4954247</v>
      </c>
      <c r="N12" s="50"/>
      <c r="O12" s="47">
        <f t="shared" si="5"/>
        <v>-639172</v>
      </c>
      <c r="P12" s="50"/>
      <c r="Q12" s="115">
        <f t="shared" si="3"/>
        <v>-0.11427214732170074</v>
      </c>
      <c r="R12" s="116">
        <f>SUM(R8:R11)</f>
        <v>62524.380000000179</v>
      </c>
    </row>
    <row r="13" spans="1:25" x14ac:dyDescent="0.25">
      <c r="B13" s="39"/>
      <c r="C13" s="40"/>
      <c r="D13" s="44"/>
      <c r="E13" s="44"/>
      <c r="F13" s="44"/>
      <c r="G13" s="44"/>
      <c r="H13" s="76"/>
      <c r="I13" s="84"/>
      <c r="J13" s="44"/>
      <c r="K13" s="85"/>
      <c r="L13" s="44"/>
      <c r="M13" s="44"/>
      <c r="N13" s="50"/>
      <c r="O13" s="47"/>
      <c r="P13" s="50"/>
      <c r="Q13" s="115"/>
      <c r="R13" s="116"/>
    </row>
    <row r="14" spans="1:25" x14ac:dyDescent="0.25">
      <c r="B14" s="41" t="s">
        <v>8</v>
      </c>
      <c r="C14" s="42"/>
      <c r="D14" s="43"/>
      <c r="E14" s="42"/>
      <c r="F14" s="43"/>
      <c r="G14" s="43"/>
      <c r="H14" s="73"/>
      <c r="I14" s="43"/>
      <c r="J14" s="43"/>
      <c r="K14" s="65"/>
      <c r="L14" s="43"/>
      <c r="M14" s="43"/>
      <c r="N14" s="50"/>
      <c r="O14" s="47">
        <f t="shared" si="5"/>
        <v>0</v>
      </c>
      <c r="P14" s="50"/>
      <c r="Q14" s="115"/>
      <c r="R14" s="116"/>
    </row>
    <row r="15" spans="1:25" x14ac:dyDescent="0.25">
      <c r="B15" s="41" t="s">
        <v>9</v>
      </c>
      <c r="C15" s="42"/>
      <c r="D15" s="43"/>
      <c r="E15" s="42"/>
      <c r="F15" s="43"/>
      <c r="G15" s="43"/>
      <c r="H15" s="73"/>
      <c r="I15" s="43"/>
      <c r="J15" s="43"/>
      <c r="K15" s="65"/>
      <c r="L15" s="43"/>
      <c r="M15" s="43"/>
      <c r="N15" s="50"/>
      <c r="O15" s="47">
        <f t="shared" si="5"/>
        <v>0</v>
      </c>
      <c r="P15" s="50"/>
      <c r="Q15" s="115"/>
      <c r="R15" s="116"/>
    </row>
    <row r="16" spans="1:25" x14ac:dyDescent="0.25">
      <c r="B16" s="41" t="s">
        <v>10</v>
      </c>
      <c r="C16" s="42">
        <v>-6522894</v>
      </c>
      <c r="D16" s="43">
        <v>-6693744.7000000002</v>
      </c>
      <c r="E16" s="42">
        <v>-7460064</v>
      </c>
      <c r="F16" s="43">
        <v>-3615760.55</v>
      </c>
      <c r="G16" s="43">
        <f t="shared" ref="G16:G22" si="7">F16-E16</f>
        <v>3844303.45</v>
      </c>
      <c r="H16" s="130">
        <v>-6970879.7648933344</v>
      </c>
      <c r="I16" s="43"/>
      <c r="J16" s="43">
        <v>-7361126</v>
      </c>
      <c r="K16" s="65">
        <v>8.9</v>
      </c>
      <c r="L16" s="43">
        <f>J16</f>
        <v>-7361126</v>
      </c>
      <c r="M16" s="43">
        <f t="shared" ref="M16:M22" si="8">L16</f>
        <v>-7361126</v>
      </c>
      <c r="N16" s="50"/>
      <c r="O16" s="47">
        <f t="shared" si="5"/>
        <v>98938</v>
      </c>
      <c r="P16" s="50"/>
      <c r="Q16" s="115">
        <f t="shared" si="3"/>
        <v>-1.3262352709038422E-2</v>
      </c>
      <c r="R16" s="116">
        <f t="shared" ref="R16:R22" si="9">H16-E16</f>
        <v>489184.23510666564</v>
      </c>
    </row>
    <row r="17" spans="1:25" x14ac:dyDescent="0.25">
      <c r="B17" s="41" t="s">
        <v>11</v>
      </c>
      <c r="C17" s="42">
        <v>-1380373</v>
      </c>
      <c r="D17" s="43">
        <v>-1412278.23</v>
      </c>
      <c r="E17" s="42">
        <v>-1532021</v>
      </c>
      <c r="F17" s="43">
        <v>-754100.06</v>
      </c>
      <c r="G17" s="43">
        <f t="shared" si="7"/>
        <v>777920.94</v>
      </c>
      <c r="H17" s="130">
        <v>-1465883.3409653334</v>
      </c>
      <c r="I17" s="43"/>
      <c r="J17" s="43">
        <v>-1514881</v>
      </c>
      <c r="K17" s="65">
        <v>5.8</v>
      </c>
      <c r="L17" s="43">
        <f t="shared" ref="L17:L22" si="10">J17</f>
        <v>-1514881</v>
      </c>
      <c r="M17" s="43">
        <f t="shared" si="8"/>
        <v>-1514881</v>
      </c>
      <c r="N17" s="50"/>
      <c r="O17" s="47">
        <f t="shared" si="5"/>
        <v>17140</v>
      </c>
      <c r="P17" s="50"/>
      <c r="Q17" s="115">
        <f t="shared" si="3"/>
        <v>-1.1187836198067781E-2</v>
      </c>
      <c r="R17" s="116">
        <f t="shared" si="9"/>
        <v>66137.659034666605</v>
      </c>
    </row>
    <row r="18" spans="1:25" x14ac:dyDescent="0.25">
      <c r="B18" s="41" t="s">
        <v>12</v>
      </c>
      <c r="C18" s="42">
        <v>-179635</v>
      </c>
      <c r="D18" s="43">
        <v>-206707.51</v>
      </c>
      <c r="E18" s="42">
        <v>-236250</v>
      </c>
      <c r="F18" s="43">
        <v>-114184.16</v>
      </c>
      <c r="G18" s="43">
        <f t="shared" si="7"/>
        <v>122065.84</v>
      </c>
      <c r="H18" s="130">
        <v>-220197.32595199998</v>
      </c>
      <c r="I18" s="43"/>
      <c r="J18" s="43">
        <v>-233330</v>
      </c>
      <c r="K18" s="65">
        <v>7</v>
      </c>
      <c r="L18" s="43">
        <f t="shared" si="10"/>
        <v>-233330</v>
      </c>
      <c r="M18" s="43">
        <f t="shared" si="8"/>
        <v>-233330</v>
      </c>
      <c r="N18" s="50"/>
      <c r="O18" s="47">
        <f t="shared" si="5"/>
        <v>2920</v>
      </c>
      <c r="P18" s="50"/>
      <c r="Q18" s="115">
        <f t="shared" si="3"/>
        <v>-1.2359788359788361E-2</v>
      </c>
      <c r="R18" s="116">
        <f t="shared" si="9"/>
        <v>16052.674048000015</v>
      </c>
    </row>
    <row r="19" spans="1:25" x14ac:dyDescent="0.25">
      <c r="B19" s="41" t="s">
        <v>13</v>
      </c>
      <c r="C19" s="42">
        <v>-17638287</v>
      </c>
      <c r="D19" s="43">
        <v>-17804494.120000001</v>
      </c>
      <c r="E19" s="42">
        <v>-19494181</v>
      </c>
      <c r="F19" s="43">
        <v>-9740374.8399999999</v>
      </c>
      <c r="G19" s="43">
        <f t="shared" si="7"/>
        <v>9753806.1600000001</v>
      </c>
      <c r="H19" s="130">
        <v>-19578249.68</v>
      </c>
      <c r="I19" s="43"/>
      <c r="J19" s="43">
        <v>-4378156</v>
      </c>
      <c r="K19" s="65">
        <v>6</v>
      </c>
      <c r="L19" s="43">
        <f t="shared" si="10"/>
        <v>-4378156</v>
      </c>
      <c r="M19" s="43">
        <f t="shared" si="8"/>
        <v>-4378156</v>
      </c>
      <c r="N19" s="50"/>
      <c r="O19" s="47">
        <f t="shared" si="5"/>
        <v>15116025</v>
      </c>
      <c r="P19" s="50"/>
      <c r="Q19" s="115">
        <f t="shared" si="3"/>
        <v>-0.77541216017230985</v>
      </c>
      <c r="R19" s="116">
        <f t="shared" si="9"/>
        <v>-84068.679999999702</v>
      </c>
      <c r="S19" s="106"/>
      <c r="T19" s="107"/>
    </row>
    <row r="20" spans="1:25" x14ac:dyDescent="0.25">
      <c r="B20" s="41" t="s">
        <v>14</v>
      </c>
      <c r="C20" s="42">
        <v>-1297181</v>
      </c>
      <c r="D20" s="43">
        <v>-1230604.8500000001</v>
      </c>
      <c r="E20" s="42">
        <v>-1277486</v>
      </c>
      <c r="F20" s="43">
        <v>-615895.19999999995</v>
      </c>
      <c r="G20" s="43">
        <f t="shared" si="7"/>
        <v>661590.80000000005</v>
      </c>
      <c r="H20" s="130">
        <v>-1277486</v>
      </c>
      <c r="I20" s="43"/>
      <c r="J20" s="43">
        <v>-1260386</v>
      </c>
      <c r="K20" s="65">
        <v>1.1000000000000001</v>
      </c>
      <c r="L20" s="43">
        <f t="shared" si="10"/>
        <v>-1260386</v>
      </c>
      <c r="M20" s="43">
        <f t="shared" si="8"/>
        <v>-1260386</v>
      </c>
      <c r="N20" s="50"/>
      <c r="O20" s="47">
        <f t="shared" si="5"/>
        <v>17100</v>
      </c>
      <c r="P20" s="50"/>
      <c r="Q20" s="115">
        <f t="shared" si="3"/>
        <v>-1.3385665283220325E-2</v>
      </c>
      <c r="R20" s="116">
        <f t="shared" si="9"/>
        <v>0</v>
      </c>
      <c r="S20" s="105"/>
      <c r="T20" s="105"/>
    </row>
    <row r="21" spans="1:25" x14ac:dyDescent="0.25">
      <c r="B21" s="41" t="s">
        <v>15</v>
      </c>
      <c r="C21" s="42">
        <v>-585406</v>
      </c>
      <c r="D21" s="43">
        <v>-601260.75</v>
      </c>
      <c r="E21" s="42">
        <v>-549000</v>
      </c>
      <c r="F21" s="43">
        <v>-209103.93</v>
      </c>
      <c r="G21" s="43">
        <f t="shared" si="7"/>
        <v>339896.07</v>
      </c>
      <c r="H21" s="130">
        <v>-507707.86</v>
      </c>
      <c r="I21" s="43"/>
      <c r="J21" s="43">
        <v>-549000</v>
      </c>
      <c r="K21" s="65">
        <v>5.8</v>
      </c>
      <c r="L21" s="43">
        <f t="shared" si="10"/>
        <v>-549000</v>
      </c>
      <c r="M21" s="43">
        <f t="shared" si="8"/>
        <v>-549000</v>
      </c>
      <c r="N21" s="50"/>
      <c r="O21" s="47">
        <f t="shared" si="5"/>
        <v>0</v>
      </c>
      <c r="P21" s="50"/>
      <c r="Q21" s="115">
        <f t="shared" si="3"/>
        <v>0</v>
      </c>
      <c r="R21" s="116">
        <f t="shared" si="9"/>
        <v>41292.140000000014</v>
      </c>
      <c r="S21" s="105"/>
      <c r="T21" s="105"/>
    </row>
    <row r="22" spans="1:25" x14ac:dyDescent="0.25">
      <c r="B22" s="41" t="s">
        <v>16</v>
      </c>
      <c r="C22" s="42">
        <v>-1772839</v>
      </c>
      <c r="D22" s="43">
        <v>-1806546.51</v>
      </c>
      <c r="E22" s="42">
        <v>-1844416</v>
      </c>
      <c r="F22" s="43">
        <v>-881460.71</v>
      </c>
      <c r="G22" s="43">
        <f t="shared" si="7"/>
        <v>962955.29</v>
      </c>
      <c r="H22" s="130">
        <v>-1762921.42</v>
      </c>
      <c r="I22" s="43"/>
      <c r="J22" s="43">
        <v>-1840986</v>
      </c>
      <c r="K22" s="65">
        <v>0.3</v>
      </c>
      <c r="L22" s="43">
        <f t="shared" si="10"/>
        <v>-1840986</v>
      </c>
      <c r="M22" s="43">
        <f t="shared" si="8"/>
        <v>-1840986</v>
      </c>
      <c r="N22" s="50"/>
      <c r="O22" s="47">
        <f t="shared" si="5"/>
        <v>3430</v>
      </c>
      <c r="P22" s="50"/>
      <c r="Q22" s="115">
        <f t="shared" si="3"/>
        <v>-1.8596672334223949E-3</v>
      </c>
      <c r="R22" s="116">
        <f t="shared" si="9"/>
        <v>81494.580000000075</v>
      </c>
      <c r="S22" s="105"/>
      <c r="T22" s="105"/>
    </row>
    <row r="23" spans="1:25" x14ac:dyDescent="0.25">
      <c r="B23" s="39" t="s">
        <v>17</v>
      </c>
      <c r="C23" s="40">
        <f t="shared" ref="C23:H23" si="11">SUM(C16:C22)</f>
        <v>-29376615</v>
      </c>
      <c r="D23" s="44">
        <f t="shared" si="11"/>
        <v>-29755636.670000006</v>
      </c>
      <c r="E23" s="44">
        <f t="shared" si="11"/>
        <v>-32393418</v>
      </c>
      <c r="F23" s="44">
        <f>SUM(F16:F22)</f>
        <v>-15930879.449999999</v>
      </c>
      <c r="G23" s="44">
        <f t="shared" si="11"/>
        <v>16462538.550000001</v>
      </c>
      <c r="H23" s="76">
        <f t="shared" si="11"/>
        <v>-31783325.39181067</v>
      </c>
      <c r="I23" s="84">
        <f>(H23-D23)/D23</f>
        <v>6.8144692862680545E-2</v>
      </c>
      <c r="J23" s="44">
        <f>SUM(J16:J22)</f>
        <v>-17137865</v>
      </c>
      <c r="K23" s="85">
        <v>6.1</v>
      </c>
      <c r="L23" s="44">
        <f>SUM(L16:L22)</f>
        <v>-17137865</v>
      </c>
      <c r="M23" s="44">
        <f>SUM(M16:M22)</f>
        <v>-17137865</v>
      </c>
      <c r="N23" s="50"/>
      <c r="O23" s="47">
        <f t="shared" si="5"/>
        <v>15255553</v>
      </c>
      <c r="P23" s="50"/>
      <c r="Q23" s="115">
        <f t="shared" si="3"/>
        <v>-0.47094607305718711</v>
      </c>
      <c r="R23" s="116">
        <f>SUM(R16:R22)</f>
        <v>610092.60818933265</v>
      </c>
      <c r="S23" s="105"/>
      <c r="T23" s="105"/>
    </row>
    <row r="24" spans="1:25" x14ac:dyDescent="0.25">
      <c r="B24" s="39"/>
      <c r="C24" s="40"/>
      <c r="D24" s="44"/>
      <c r="E24" s="44"/>
      <c r="F24" s="44"/>
      <c r="G24" s="44"/>
      <c r="H24" s="76"/>
      <c r="I24" s="84"/>
      <c r="J24" s="44"/>
      <c r="K24" s="85"/>
      <c r="L24" s="44"/>
      <c r="M24" s="44"/>
      <c r="N24" s="50"/>
      <c r="O24" s="47"/>
      <c r="P24" s="50"/>
      <c r="Q24" s="115"/>
      <c r="R24" s="116"/>
      <c r="S24" s="105"/>
      <c r="T24" s="105"/>
    </row>
    <row r="25" spans="1:25" x14ac:dyDescent="0.25">
      <c r="B25" s="45" t="s">
        <v>18</v>
      </c>
      <c r="C25" s="46">
        <f>C23+C12</f>
        <v>-23977040</v>
      </c>
      <c r="D25" s="46">
        <f>SUM(D12,D23)</f>
        <v>-24405127.590000004</v>
      </c>
      <c r="E25" s="46">
        <f>SUM(E12,E23)</f>
        <v>-26799999</v>
      </c>
      <c r="F25" s="46">
        <f>SUM(F12,F23)</f>
        <v>-13305157.76</v>
      </c>
      <c r="G25" s="46">
        <f>SUM(G12,G23)</f>
        <v>13494841.24</v>
      </c>
      <c r="H25" s="46">
        <f>SUM(H12,H23)</f>
        <v>-26127382.011810672</v>
      </c>
      <c r="I25" s="86">
        <f>(H25-D25)/D25</f>
        <v>7.0569367665029595E-2</v>
      </c>
      <c r="J25" s="46">
        <f>SUM(J12,J23)</f>
        <v>-12183618</v>
      </c>
      <c r="K25" s="87">
        <v>5.0999999999999996</v>
      </c>
      <c r="L25" s="46">
        <f>SUM(L12,L23)</f>
        <v>-12183618</v>
      </c>
      <c r="M25" s="46">
        <f>SUM(M12,M23)</f>
        <v>-12183618</v>
      </c>
      <c r="N25" s="117"/>
      <c r="O25" s="118">
        <f t="shared" si="5"/>
        <v>14616381</v>
      </c>
      <c r="P25" s="117"/>
      <c r="Q25" s="119">
        <f t="shared" si="3"/>
        <v>-0.54538737109654367</v>
      </c>
      <c r="R25" s="116">
        <f>SUM(R12,R23)</f>
        <v>672616.98818933289</v>
      </c>
      <c r="S25" s="105"/>
      <c r="T25" s="105"/>
    </row>
    <row r="26" spans="1:25" s="9" customFormat="1" x14ac:dyDescent="0.25">
      <c r="B26" s="16"/>
      <c r="C26" s="17"/>
      <c r="D26" s="17"/>
      <c r="E26" s="17"/>
      <c r="F26" s="32"/>
      <c r="G26" s="32"/>
      <c r="H26" s="32"/>
      <c r="I26" s="109"/>
      <c r="J26" s="32"/>
      <c r="K26" s="58"/>
      <c r="L26" s="32"/>
      <c r="M26" s="32"/>
      <c r="N26" s="53"/>
      <c r="O26" s="56"/>
      <c r="P26" s="53"/>
      <c r="Q26" s="110"/>
      <c r="R26" s="111"/>
      <c r="S26" s="5"/>
      <c r="T26" s="5"/>
    </row>
    <row r="27" spans="1:25" s="2" customFormat="1" ht="30" x14ac:dyDescent="0.25">
      <c r="A27" s="100"/>
      <c r="B27" s="35" t="s">
        <v>67</v>
      </c>
      <c r="C27" s="36" t="s">
        <v>36</v>
      </c>
      <c r="D27" s="36" t="s">
        <v>1</v>
      </c>
      <c r="E27" s="36" t="s">
        <v>37</v>
      </c>
      <c r="F27" s="36" t="s">
        <v>72</v>
      </c>
      <c r="G27" s="36" t="s">
        <v>57</v>
      </c>
      <c r="H27" s="36" t="s">
        <v>38</v>
      </c>
      <c r="I27" s="36"/>
      <c r="J27" s="36" t="s">
        <v>39</v>
      </c>
      <c r="K27" s="36" t="s">
        <v>40</v>
      </c>
      <c r="L27" s="36" t="s">
        <v>41</v>
      </c>
      <c r="M27" s="36" t="s">
        <v>42</v>
      </c>
      <c r="N27" s="112"/>
      <c r="O27" s="112"/>
      <c r="P27" s="112"/>
      <c r="Q27" s="112"/>
      <c r="R27" s="77" t="s">
        <v>58</v>
      </c>
      <c r="S27" s="105"/>
      <c r="T27" s="105"/>
      <c r="U27" s="100"/>
      <c r="V27" s="100"/>
      <c r="W27" s="100"/>
      <c r="X27" s="100"/>
      <c r="Y27" s="100"/>
    </row>
    <row r="28" spans="1:25" x14ac:dyDescent="0.25">
      <c r="B28" s="41" t="s">
        <v>19</v>
      </c>
      <c r="C28" s="42">
        <v>17941545</v>
      </c>
      <c r="D28" s="43">
        <v>19196219.5</v>
      </c>
      <c r="E28" s="42">
        <v>19659070</v>
      </c>
      <c r="F28" s="43">
        <v>10353863.23</v>
      </c>
      <c r="G28" s="43">
        <f t="shared" ref="G28:G34" si="12">F28-E28</f>
        <v>-9305206.7699999996</v>
      </c>
      <c r="H28" s="130">
        <v>20829980.750539966</v>
      </c>
      <c r="I28" s="43"/>
      <c r="J28" s="43">
        <f>[1]Verotulot!G39</f>
        <v>11042933.647458548</v>
      </c>
      <c r="K28" s="65">
        <v>8.9</v>
      </c>
      <c r="L28" s="43">
        <f>[1]Verotulot!H39</f>
        <v>10963406.442934247</v>
      </c>
      <c r="M28" s="43">
        <f>[1]Verotulot!I39</f>
        <v>11188239.258458849</v>
      </c>
      <c r="N28" s="50"/>
      <c r="O28" s="47">
        <f t="shared" si="5"/>
        <v>-8616136.3525414523</v>
      </c>
      <c r="P28" s="50"/>
      <c r="Q28" s="115">
        <f t="shared" si="3"/>
        <v>-0.438277922228338</v>
      </c>
      <c r="R28" s="116">
        <f>H28-E28</f>
        <v>1170910.7505399659</v>
      </c>
      <c r="S28" s="105"/>
      <c r="T28" s="105"/>
    </row>
    <row r="29" spans="1:25" x14ac:dyDescent="0.25">
      <c r="B29" s="41" t="s">
        <v>20</v>
      </c>
      <c r="C29" s="42">
        <v>9149888</v>
      </c>
      <c r="D29" s="43">
        <v>7974051</v>
      </c>
      <c r="E29" s="42">
        <v>7771608</v>
      </c>
      <c r="F29" s="43">
        <v>3852924</v>
      </c>
      <c r="G29" s="43">
        <f t="shared" si="12"/>
        <v>-3918684</v>
      </c>
      <c r="H29" s="130">
        <v>7936018</v>
      </c>
      <c r="I29" s="43"/>
      <c r="J29" s="43">
        <v>2638164</v>
      </c>
      <c r="K29" s="65">
        <v>-2.9</v>
      </c>
      <c r="L29" s="43">
        <f>J29-85000</f>
        <v>2553164</v>
      </c>
      <c r="M29" s="43">
        <f>L29</f>
        <v>2553164</v>
      </c>
      <c r="N29" s="50"/>
      <c r="O29" s="47">
        <f t="shared" si="5"/>
        <v>-5133444</v>
      </c>
      <c r="P29" s="50"/>
      <c r="Q29" s="115">
        <f t="shared" si="3"/>
        <v>-0.66053820522085005</v>
      </c>
      <c r="R29" s="116">
        <f>H29-E29</f>
        <v>164410</v>
      </c>
    </row>
    <row r="30" spans="1:25" x14ac:dyDescent="0.25">
      <c r="B30" s="41" t="s">
        <v>21</v>
      </c>
      <c r="C30" s="42"/>
      <c r="D30" s="47"/>
      <c r="E30" s="42"/>
      <c r="F30" s="47"/>
      <c r="G30" s="47"/>
      <c r="H30" s="132"/>
      <c r="I30" s="47"/>
      <c r="J30" s="43"/>
      <c r="K30" s="65"/>
      <c r="L30" s="43"/>
      <c r="M30" s="43"/>
      <c r="N30" s="50"/>
      <c r="O30" s="47">
        <f t="shared" si="5"/>
        <v>0</v>
      </c>
      <c r="P30" s="50"/>
      <c r="Q30" s="115"/>
      <c r="R30" s="116"/>
    </row>
    <row r="31" spans="1:25" x14ac:dyDescent="0.25">
      <c r="B31" s="41" t="s">
        <v>22</v>
      </c>
      <c r="C31" s="42">
        <v>5668</v>
      </c>
      <c r="D31" s="43">
        <v>0</v>
      </c>
      <c r="E31" s="42">
        <v>100</v>
      </c>
      <c r="F31" s="43">
        <v>0</v>
      </c>
      <c r="G31" s="43">
        <f t="shared" si="12"/>
        <v>-100</v>
      </c>
      <c r="H31" s="130">
        <v>0</v>
      </c>
      <c r="I31" s="43"/>
      <c r="J31" s="43">
        <v>100</v>
      </c>
      <c r="K31" s="65"/>
      <c r="L31" s="43">
        <f t="shared" ref="L31:L34" si="13">J31</f>
        <v>100</v>
      </c>
      <c r="M31" s="43">
        <f t="shared" ref="M31:M34" si="14">L31</f>
        <v>100</v>
      </c>
      <c r="N31" s="50"/>
      <c r="O31" s="47">
        <f t="shared" si="5"/>
        <v>0</v>
      </c>
      <c r="P31" s="50"/>
      <c r="Q31" s="115">
        <f t="shared" si="3"/>
        <v>0</v>
      </c>
      <c r="R31" s="116">
        <f>H31-E31</f>
        <v>-100</v>
      </c>
    </row>
    <row r="32" spans="1:25" x14ac:dyDescent="0.25">
      <c r="B32" s="41" t="s">
        <v>23</v>
      </c>
      <c r="C32" s="42">
        <v>86841</v>
      </c>
      <c r="D32" s="43">
        <v>130092.63</v>
      </c>
      <c r="E32" s="42">
        <v>51728</v>
      </c>
      <c r="F32" s="43">
        <v>54553.99</v>
      </c>
      <c r="G32" s="43">
        <f t="shared" si="12"/>
        <v>2825.989999999998</v>
      </c>
      <c r="H32" s="130">
        <v>86053.989999999991</v>
      </c>
      <c r="I32" s="43"/>
      <c r="J32" s="43">
        <v>41176</v>
      </c>
      <c r="K32" s="65">
        <v>80.900000000000006</v>
      </c>
      <c r="L32" s="43">
        <f t="shared" si="13"/>
        <v>41176</v>
      </c>
      <c r="M32" s="43">
        <f t="shared" si="14"/>
        <v>41176</v>
      </c>
      <c r="N32" s="50"/>
      <c r="O32" s="47">
        <f t="shared" si="5"/>
        <v>-10552</v>
      </c>
      <c r="P32" s="50"/>
      <c r="Q32" s="115">
        <f t="shared" si="3"/>
        <v>-0.20399010207237861</v>
      </c>
      <c r="R32" s="116">
        <f>H32-E32</f>
        <v>34325.989999999991</v>
      </c>
    </row>
    <row r="33" spans="1:25" x14ac:dyDescent="0.25">
      <c r="B33" s="41" t="s">
        <v>24</v>
      </c>
      <c r="C33" s="42">
        <v>-71892</v>
      </c>
      <c r="D33" s="43">
        <v>-39181.07</v>
      </c>
      <c r="E33" s="42">
        <v>-50500</v>
      </c>
      <c r="F33" s="43">
        <v>-7720.24</v>
      </c>
      <c r="G33" s="43">
        <f t="shared" si="12"/>
        <v>42779.76</v>
      </c>
      <c r="H33" s="130">
        <v>-33720.239999999998</v>
      </c>
      <c r="I33" s="43"/>
      <c r="J33" s="43">
        <v>-94500</v>
      </c>
      <c r="K33" s="65">
        <v>-46.6</v>
      </c>
      <c r="L33" s="43">
        <f t="shared" si="13"/>
        <v>-94500</v>
      </c>
      <c r="M33" s="43">
        <f t="shared" si="14"/>
        <v>-94500</v>
      </c>
      <c r="N33" s="50"/>
      <c r="O33" s="47">
        <f t="shared" si="5"/>
        <v>-44000</v>
      </c>
      <c r="P33" s="50"/>
      <c r="Q33" s="115">
        <f t="shared" si="3"/>
        <v>0.87128712871287128</v>
      </c>
      <c r="R33" s="116">
        <f>H33-E33</f>
        <v>16779.760000000002</v>
      </c>
    </row>
    <row r="34" spans="1:25" x14ac:dyDescent="0.25">
      <c r="B34" s="41" t="s">
        <v>25</v>
      </c>
      <c r="C34" s="42">
        <v>-47992</v>
      </c>
      <c r="D34" s="43">
        <v>-903678.22</v>
      </c>
      <c r="E34" s="42">
        <v>-103544</v>
      </c>
      <c r="F34" s="43">
        <v>-57348.53</v>
      </c>
      <c r="G34" s="43">
        <f t="shared" si="12"/>
        <v>46195.47</v>
      </c>
      <c r="H34" s="130">
        <v>-102348.53</v>
      </c>
      <c r="I34" s="43"/>
      <c r="J34" s="43">
        <v>-94259</v>
      </c>
      <c r="K34" s="65">
        <v>2.5</v>
      </c>
      <c r="L34" s="43">
        <f t="shared" si="13"/>
        <v>-94259</v>
      </c>
      <c r="M34" s="43">
        <f t="shared" si="14"/>
        <v>-94259</v>
      </c>
      <c r="N34" s="50"/>
      <c r="O34" s="47">
        <f t="shared" si="5"/>
        <v>9285</v>
      </c>
      <c r="P34" s="50"/>
      <c r="Q34" s="115">
        <f t="shared" si="3"/>
        <v>-8.9672023487599478E-2</v>
      </c>
      <c r="R34" s="116">
        <f>H34-E34</f>
        <v>1195.4700000000012</v>
      </c>
    </row>
    <row r="35" spans="1:25" x14ac:dyDescent="0.25">
      <c r="B35" s="39" t="s">
        <v>26</v>
      </c>
      <c r="C35" s="40">
        <v>-27374</v>
      </c>
      <c r="D35" s="44">
        <f>SUM(D31:D34)</f>
        <v>-812766.65999999992</v>
      </c>
      <c r="E35" s="44">
        <f>SUM(E31:E34)</f>
        <v>-102216</v>
      </c>
      <c r="F35" s="44">
        <f>SUM(F31:F34)</f>
        <v>-10514.779999999999</v>
      </c>
      <c r="G35" s="44">
        <f>SUM(G31:G34)</f>
        <v>91701.22</v>
      </c>
      <c r="H35" s="76">
        <f>SUM(H31:H34)</f>
        <v>-50014.780000000006</v>
      </c>
      <c r="I35" s="84">
        <f>(H35-D35)/D35</f>
        <v>-0.93846354376790009</v>
      </c>
      <c r="J35" s="44">
        <f>SUM(J31:J34)</f>
        <v>-147483</v>
      </c>
      <c r="K35" s="85">
        <v>-38.700000000000003</v>
      </c>
      <c r="L35" s="44">
        <f>SUM(L31:L34)</f>
        <v>-147483</v>
      </c>
      <c r="M35" s="44">
        <f>SUM(M31:M34)</f>
        <v>-147483</v>
      </c>
      <c r="N35" s="50"/>
      <c r="O35" s="47">
        <f t="shared" si="5"/>
        <v>-45267</v>
      </c>
      <c r="P35" s="50"/>
      <c r="Q35" s="115">
        <f t="shared" si="3"/>
        <v>0.4428563042967833</v>
      </c>
      <c r="R35" s="116">
        <f>SUM(R31:R34)</f>
        <v>52201.219999999994</v>
      </c>
    </row>
    <row r="36" spans="1:25" x14ac:dyDescent="0.25">
      <c r="B36" s="39"/>
      <c r="C36" s="40"/>
      <c r="D36" s="44"/>
      <c r="E36" s="44"/>
      <c r="F36" s="44"/>
      <c r="G36" s="44"/>
      <c r="H36" s="76"/>
      <c r="I36" s="84"/>
      <c r="J36" s="44"/>
      <c r="K36" s="85"/>
      <c r="L36" s="44"/>
      <c r="M36" s="44"/>
      <c r="N36" s="50"/>
      <c r="O36" s="47"/>
      <c r="P36" s="50"/>
      <c r="Q36" s="115"/>
      <c r="R36" s="116"/>
    </row>
    <row r="37" spans="1:25" x14ac:dyDescent="0.25">
      <c r="B37" s="45" t="s">
        <v>27</v>
      </c>
      <c r="C37" s="46">
        <f>C25+C28+C29+C35</f>
        <v>3087019</v>
      </c>
      <c r="D37" s="46">
        <f>SUM(D25:D29,D35)</f>
        <v>1952376.2499999965</v>
      </c>
      <c r="E37" s="46">
        <f>SUM(E25:E29,E35)</f>
        <v>528463</v>
      </c>
      <c r="F37" s="46">
        <f>SUM(F25:F29,F35)</f>
        <v>891114.69000000064</v>
      </c>
      <c r="G37" s="46">
        <f>SUM(G25:G29,G35)</f>
        <v>362651.69000000064</v>
      </c>
      <c r="H37" s="46">
        <f>SUM(H25:H29,H35)</f>
        <v>2588601.9587292946</v>
      </c>
      <c r="I37" s="86">
        <f>(H37-D37)/D37</f>
        <v>0.32587248934691726</v>
      </c>
      <c r="J37" s="46">
        <f>SUM(J25:J29,J35)</f>
        <v>1349996.6474585477</v>
      </c>
      <c r="K37" s="87">
        <v>33.6</v>
      </c>
      <c r="L37" s="46">
        <f>SUM(L25:L29,L35)</f>
        <v>1185469.4429342467</v>
      </c>
      <c r="M37" s="46">
        <f>SUM(M25:M29,M35)</f>
        <v>1410302.258458849</v>
      </c>
      <c r="N37" s="117"/>
      <c r="O37" s="118">
        <f t="shared" si="5"/>
        <v>821533.64745854773</v>
      </c>
      <c r="P37" s="117"/>
      <c r="Q37" s="119">
        <f t="shared" si="3"/>
        <v>1.5545717438279458</v>
      </c>
      <c r="R37" s="116">
        <f>SUM(R25:R29,R35)</f>
        <v>2060138.9587292988</v>
      </c>
    </row>
    <row r="38" spans="1:25" s="9" customFormat="1" x14ac:dyDescent="0.25">
      <c r="B38" s="16"/>
      <c r="C38" s="17"/>
      <c r="D38" s="17"/>
      <c r="E38" s="17"/>
      <c r="F38" s="32"/>
      <c r="G38" s="32"/>
      <c r="H38" s="32"/>
      <c r="I38" s="109"/>
      <c r="J38" s="32"/>
      <c r="K38" s="58"/>
      <c r="L38" s="32"/>
      <c r="M38" s="32"/>
      <c r="N38" s="53"/>
      <c r="O38" s="56"/>
      <c r="P38" s="53"/>
      <c r="Q38" s="110"/>
      <c r="R38" s="111"/>
    </row>
    <row r="39" spans="1:25" s="2" customFormat="1" ht="30" x14ac:dyDescent="0.25">
      <c r="A39" s="100"/>
      <c r="B39" s="35" t="s">
        <v>67</v>
      </c>
      <c r="C39" s="36" t="s">
        <v>36</v>
      </c>
      <c r="D39" s="36" t="s">
        <v>1</v>
      </c>
      <c r="E39" s="36" t="s">
        <v>37</v>
      </c>
      <c r="F39" s="36" t="s">
        <v>72</v>
      </c>
      <c r="G39" s="36" t="s">
        <v>57</v>
      </c>
      <c r="H39" s="36" t="s">
        <v>38</v>
      </c>
      <c r="I39" s="36"/>
      <c r="J39" s="36" t="s">
        <v>39</v>
      </c>
      <c r="K39" s="36" t="s">
        <v>40</v>
      </c>
      <c r="L39" s="36" t="s">
        <v>41</v>
      </c>
      <c r="M39" s="36" t="s">
        <v>42</v>
      </c>
      <c r="N39" s="112"/>
      <c r="O39" s="112"/>
      <c r="P39" s="112"/>
      <c r="Q39" s="112"/>
      <c r="R39" s="77" t="s">
        <v>58</v>
      </c>
      <c r="S39" s="100"/>
      <c r="T39" s="100"/>
      <c r="U39" s="100"/>
      <c r="V39" s="100"/>
      <c r="W39" s="100"/>
      <c r="X39" s="100"/>
      <c r="Y39" s="100"/>
    </row>
    <row r="40" spans="1:25" x14ac:dyDescent="0.25">
      <c r="B40" s="41" t="s">
        <v>28</v>
      </c>
      <c r="C40" s="42"/>
      <c r="D40" s="43"/>
      <c r="E40" s="42"/>
      <c r="F40" s="43"/>
      <c r="G40" s="43"/>
      <c r="H40" s="73"/>
      <c r="I40" s="43"/>
      <c r="J40" s="43"/>
      <c r="K40" s="65"/>
      <c r="L40" s="43"/>
      <c r="M40" s="43"/>
      <c r="N40" s="50"/>
      <c r="O40" s="47">
        <f t="shared" si="5"/>
        <v>0</v>
      </c>
      <c r="P40" s="50"/>
      <c r="Q40" s="115"/>
      <c r="R40" s="116"/>
    </row>
    <row r="41" spans="1:25" x14ac:dyDescent="0.25">
      <c r="B41" s="41" t="s">
        <v>29</v>
      </c>
      <c r="C41" s="42">
        <v>-1521697</v>
      </c>
      <c r="D41" s="47">
        <v>-1482122.69</v>
      </c>
      <c r="E41" s="42">
        <v>-1521536</v>
      </c>
      <c r="F41" s="47">
        <f>-679812.9</f>
        <v>-679812.9</v>
      </c>
      <c r="G41" s="43">
        <f t="shared" ref="G41" si="15">F41-E41</f>
        <v>841723.1</v>
      </c>
      <c r="H41" s="130">
        <v>-1359625.8</v>
      </c>
      <c r="I41" s="47"/>
      <c r="J41" s="43">
        <v>-1620336</v>
      </c>
      <c r="K41" s="65"/>
      <c r="L41" s="43">
        <v>-1900000</v>
      </c>
      <c r="M41" s="43">
        <f>L41</f>
        <v>-1900000</v>
      </c>
      <c r="N41" s="50"/>
      <c r="O41" s="47">
        <f t="shared" si="5"/>
        <v>-98800</v>
      </c>
      <c r="P41" s="50"/>
      <c r="Q41" s="115">
        <f t="shared" si="3"/>
        <v>6.4934382098090354E-2</v>
      </c>
      <c r="R41" s="116">
        <f t="shared" ref="R41" si="16">H41-E41</f>
        <v>161910.19999999995</v>
      </c>
    </row>
    <row r="42" spans="1:25" x14ac:dyDescent="0.25">
      <c r="B42" s="41"/>
      <c r="C42" s="42"/>
      <c r="D42" s="47"/>
      <c r="E42" s="42"/>
      <c r="F42" s="47"/>
      <c r="G42" s="47"/>
      <c r="H42" s="73"/>
      <c r="I42" s="47"/>
      <c r="J42" s="43"/>
      <c r="K42" s="65"/>
      <c r="L42" s="43"/>
      <c r="M42" s="43"/>
      <c r="N42" s="50"/>
      <c r="O42" s="47"/>
      <c r="P42" s="50"/>
      <c r="Q42" s="115"/>
      <c r="R42" s="116"/>
    </row>
    <row r="43" spans="1:25" x14ac:dyDescent="0.25">
      <c r="B43" s="45" t="s">
        <v>31</v>
      </c>
      <c r="C43" s="46">
        <f>C37+C41</f>
        <v>1565322</v>
      </c>
      <c r="D43" s="48">
        <f>SUM(D37,D41)</f>
        <v>470253.55999999656</v>
      </c>
      <c r="E43" s="48">
        <f>SUM(E37,E41)</f>
        <v>-993073</v>
      </c>
      <c r="F43" s="48">
        <f>SUM(F37,F41)</f>
        <v>211301.79000000062</v>
      </c>
      <c r="G43" s="48">
        <f>SUM(G37,G41)</f>
        <v>1204374.7900000005</v>
      </c>
      <c r="H43" s="48">
        <f>SUM(H37,H41)</f>
        <v>1228976.1587292945</v>
      </c>
      <c r="I43" s="86">
        <f>(H43-D43)/D43</f>
        <v>1.6134329716276969</v>
      </c>
      <c r="J43" s="48">
        <f>SUM(J37,J41)</f>
        <v>-270339.35254145227</v>
      </c>
      <c r="K43" s="87">
        <v>-11.8</v>
      </c>
      <c r="L43" s="48">
        <f>SUM(L37,L41)</f>
        <v>-714530.55706575327</v>
      </c>
      <c r="M43" s="48">
        <f>SUM(M37,M41)</f>
        <v>-489697.74154115096</v>
      </c>
      <c r="N43" s="117"/>
      <c r="O43" s="118">
        <f t="shared" si="5"/>
        <v>722733.64745854773</v>
      </c>
      <c r="P43" s="117"/>
      <c r="Q43" s="119">
        <f t="shared" si="3"/>
        <v>-0.72777494449909297</v>
      </c>
      <c r="R43" s="116">
        <f>SUM(R37,R41)</f>
        <v>2222049.158729299</v>
      </c>
    </row>
    <row r="44" spans="1:25" x14ac:dyDescent="0.25">
      <c r="B44" s="39"/>
      <c r="C44" s="40"/>
      <c r="D44" s="49"/>
      <c r="E44" s="49"/>
      <c r="F44" s="49"/>
      <c r="G44" s="49"/>
      <c r="H44" s="142"/>
      <c r="I44" s="84"/>
      <c r="J44" s="49"/>
      <c r="K44" s="85"/>
      <c r="L44" s="49"/>
      <c r="M44" s="49"/>
      <c r="N44" s="50"/>
      <c r="O44" s="47"/>
      <c r="P44" s="50"/>
      <c r="Q44" s="115"/>
      <c r="R44" s="116"/>
    </row>
    <row r="45" spans="1:25" x14ac:dyDescent="0.25">
      <c r="B45" s="41" t="s">
        <v>32</v>
      </c>
      <c r="C45" s="42">
        <v>39122</v>
      </c>
      <c r="D45" s="47">
        <v>17545.68</v>
      </c>
      <c r="E45" s="42">
        <v>39100</v>
      </c>
      <c r="F45" s="47">
        <v>0</v>
      </c>
      <c r="G45" s="43">
        <f t="shared" ref="G45" si="17">F45-E45</f>
        <v>-39100</v>
      </c>
      <c r="H45" s="73">
        <f t="shared" ref="H45" si="18">F45*4</f>
        <v>0</v>
      </c>
      <c r="I45" s="47"/>
      <c r="J45" s="43">
        <v>0</v>
      </c>
      <c r="K45" s="65"/>
      <c r="L45" s="43">
        <v>0</v>
      </c>
      <c r="M45" s="43">
        <v>0</v>
      </c>
      <c r="N45" s="50"/>
      <c r="O45" s="47">
        <f t="shared" si="5"/>
        <v>-39100</v>
      </c>
      <c r="P45" s="50"/>
      <c r="Q45" s="115">
        <f t="shared" si="3"/>
        <v>-1</v>
      </c>
      <c r="R45" s="116">
        <f>H45-E45</f>
        <v>-39100</v>
      </c>
    </row>
    <row r="46" spans="1:25" hidden="1" x14ac:dyDescent="0.25">
      <c r="B46" s="41" t="s">
        <v>44</v>
      </c>
      <c r="C46" s="42"/>
      <c r="D46" s="47"/>
      <c r="E46" s="42"/>
      <c r="F46" s="47"/>
      <c r="G46" s="47"/>
      <c r="H46" s="132"/>
      <c r="I46" s="47"/>
      <c r="J46" s="43"/>
      <c r="K46" s="65"/>
      <c r="L46" s="43"/>
      <c r="M46" s="43"/>
      <c r="N46" s="50"/>
      <c r="O46" s="47">
        <f t="shared" si="5"/>
        <v>0</v>
      </c>
      <c r="P46" s="50"/>
      <c r="Q46" s="115"/>
      <c r="R46" s="116"/>
    </row>
    <row r="47" spans="1:25" hidden="1" x14ac:dyDescent="0.25">
      <c r="B47" s="41" t="s">
        <v>45</v>
      </c>
      <c r="C47" s="42"/>
      <c r="D47" s="47"/>
      <c r="E47" s="42"/>
      <c r="F47" s="47"/>
      <c r="G47" s="47"/>
      <c r="H47" s="132"/>
      <c r="I47" s="47"/>
      <c r="J47" s="43"/>
      <c r="K47" s="65"/>
      <c r="L47" s="43"/>
      <c r="M47" s="43"/>
      <c r="N47" s="50"/>
      <c r="O47" s="47">
        <f t="shared" si="5"/>
        <v>0</v>
      </c>
      <c r="P47" s="50"/>
      <c r="Q47" s="115"/>
      <c r="R47" s="116"/>
    </row>
    <row r="48" spans="1:25" x14ac:dyDescent="0.25">
      <c r="B48" s="41"/>
      <c r="C48" s="42"/>
      <c r="D48" s="47"/>
      <c r="E48" s="42"/>
      <c r="F48" s="47"/>
      <c r="G48" s="47"/>
      <c r="H48" s="132"/>
      <c r="I48" s="47"/>
      <c r="J48" s="43"/>
      <c r="K48" s="65"/>
      <c r="L48" s="43"/>
      <c r="M48" s="43"/>
      <c r="N48" s="50"/>
      <c r="O48" s="47"/>
      <c r="P48" s="50"/>
      <c r="Q48" s="115"/>
      <c r="R48" s="116"/>
    </row>
    <row r="49" spans="2:18" x14ac:dyDescent="0.25">
      <c r="B49" s="45" t="s">
        <v>33</v>
      </c>
      <c r="C49" s="46">
        <f>C43+C45</f>
        <v>1604444</v>
      </c>
      <c r="D49" s="48">
        <f>SUM(D43:D45)</f>
        <v>487799.23999999656</v>
      </c>
      <c r="E49" s="48">
        <f>SUM(E43:E45)</f>
        <v>-953973</v>
      </c>
      <c r="F49" s="48">
        <f>SUM(F43:F45)</f>
        <v>211301.79000000062</v>
      </c>
      <c r="G49" s="48">
        <f>SUM(G43:G45)</f>
        <v>1165274.7900000005</v>
      </c>
      <c r="H49" s="48">
        <f>SUM(H43:H45)</f>
        <v>1228976.1587292945</v>
      </c>
      <c r="I49" s="86">
        <f>(H49-D49)/D49</f>
        <v>1.5194302449698431</v>
      </c>
      <c r="J49" s="48">
        <f>SUM(J43:J45)</f>
        <v>-270339.35254145227</v>
      </c>
      <c r="K49" s="87">
        <v>-12.2</v>
      </c>
      <c r="L49" s="48">
        <f>SUM(L43:L45)</f>
        <v>-714530.55706575327</v>
      </c>
      <c r="M49" s="48">
        <f>SUM(M43:M45)</f>
        <v>-489697.74154115096</v>
      </c>
      <c r="N49" s="117"/>
      <c r="O49" s="118">
        <f t="shared" si="5"/>
        <v>683633.64745854773</v>
      </c>
      <c r="P49" s="117"/>
      <c r="Q49" s="119">
        <f t="shared" si="3"/>
        <v>-0.71661739636084854</v>
      </c>
      <c r="R49" s="116">
        <f>SUM(R43:R45)</f>
        <v>2182949.158729299</v>
      </c>
    </row>
    <row r="50" spans="2:18" s="9" customFormat="1" x14ac:dyDescent="0.25">
      <c r="B50" s="108"/>
      <c r="C50" s="108"/>
      <c r="D50" s="108"/>
      <c r="E50" s="108"/>
      <c r="F50" s="108"/>
      <c r="G50" s="108"/>
      <c r="H50" s="108"/>
      <c r="I50" s="108"/>
      <c r="J50" s="108"/>
      <c r="K50" s="108"/>
      <c r="L50" s="108"/>
      <c r="M50" s="108"/>
      <c r="N50" s="108"/>
      <c r="O50" s="108"/>
      <c r="P50" s="108"/>
      <c r="Q50" s="108"/>
      <c r="R50" s="108"/>
    </row>
    <row r="51" spans="2:18" hidden="1" x14ac:dyDescent="0.25">
      <c r="B51" s="20"/>
      <c r="C51" s="20"/>
      <c r="D51" s="20"/>
      <c r="E51" s="20"/>
      <c r="F51" s="20"/>
      <c r="G51" s="20"/>
      <c r="H51" s="20"/>
      <c r="I51" s="20"/>
      <c r="J51" s="20"/>
      <c r="K51" s="20"/>
      <c r="L51" s="20"/>
      <c r="M51" s="20"/>
      <c r="N51" s="20"/>
      <c r="O51" s="20"/>
      <c r="P51" s="20"/>
      <c r="Q51" s="20"/>
      <c r="R51" s="20"/>
    </row>
    <row r="52" spans="2:18" ht="30" x14ac:dyDescent="0.25">
      <c r="B52" s="35" t="s">
        <v>67</v>
      </c>
      <c r="C52" s="36" t="s">
        <v>36</v>
      </c>
      <c r="D52" s="36" t="s">
        <v>1</v>
      </c>
      <c r="E52" s="36" t="s">
        <v>37</v>
      </c>
      <c r="F52" s="36" t="s">
        <v>72</v>
      </c>
      <c r="G52" s="36" t="s">
        <v>57</v>
      </c>
      <c r="H52" s="36" t="s">
        <v>38</v>
      </c>
      <c r="I52" s="36"/>
      <c r="J52" s="36" t="s">
        <v>39</v>
      </c>
      <c r="K52" s="36" t="s">
        <v>40</v>
      </c>
      <c r="L52" s="36" t="s">
        <v>41</v>
      </c>
      <c r="M52" s="36" t="s">
        <v>42</v>
      </c>
      <c r="N52" s="112"/>
      <c r="O52" s="112"/>
      <c r="P52" s="112"/>
      <c r="Q52" s="112"/>
      <c r="R52" s="77" t="s">
        <v>58</v>
      </c>
    </row>
    <row r="53" spans="2:18" x14ac:dyDescent="0.25">
      <c r="B53" s="50" t="s">
        <v>46</v>
      </c>
      <c r="C53" s="51">
        <f>C12/C23</f>
        <v>-0.18380521377292788</v>
      </c>
      <c r="D53" s="51">
        <f>D12/D23</f>
        <v>-0.17981497554022927</v>
      </c>
      <c r="E53" s="51">
        <f>E12/E23</f>
        <v>-0.17267146677760278</v>
      </c>
      <c r="F53" s="51">
        <f>F12/F23</f>
        <v>-0.1648196321013527</v>
      </c>
      <c r="G53" s="70">
        <f t="shared" ref="G53:G55" si="19">F53-E53</f>
        <v>7.8518346762500857E-3</v>
      </c>
      <c r="H53" s="133">
        <f>H12/H23</f>
        <v>-0.17795316601633249</v>
      </c>
      <c r="I53" s="51"/>
      <c r="J53" s="51">
        <f t="shared" ref="J53:M53" si="20">J12/J23</f>
        <v>-0.28908192473216471</v>
      </c>
      <c r="K53" s="88" t="s">
        <v>47</v>
      </c>
      <c r="L53" s="51">
        <f t="shared" si="20"/>
        <v>-0.28908192473216471</v>
      </c>
      <c r="M53" s="51">
        <f t="shared" si="20"/>
        <v>-0.28908192473216471</v>
      </c>
      <c r="N53" s="50"/>
      <c r="O53" s="50"/>
      <c r="P53" s="50"/>
      <c r="Q53" s="50"/>
      <c r="R53" s="116">
        <f t="shared" ref="R53:R56" si="21">H53-E53</f>
        <v>-5.2816992387297035E-3</v>
      </c>
    </row>
    <row r="54" spans="2:18" x14ac:dyDescent="0.25">
      <c r="B54" s="50" t="s">
        <v>48</v>
      </c>
      <c r="C54" s="52">
        <f>C37/-C41</f>
        <v>2.0286686508549336</v>
      </c>
      <c r="D54" s="52">
        <f>D37/-D41</f>
        <v>1.3172838275622085</v>
      </c>
      <c r="E54" s="52">
        <f>E37/-E41</f>
        <v>0.34732204824598301</v>
      </c>
      <c r="F54" s="52">
        <f>F37/-F41</f>
        <v>1.3108234486282926</v>
      </c>
      <c r="G54" s="61">
        <f t="shared" si="19"/>
        <v>0.96350140038230958</v>
      </c>
      <c r="H54" s="134">
        <f>H37/-H41</f>
        <v>1.9039076477728611</v>
      </c>
      <c r="I54" s="52"/>
      <c r="J54" s="52">
        <f t="shared" ref="J54:M54" si="22">J37/-J41</f>
        <v>0.83315846062702292</v>
      </c>
      <c r="K54" s="88" t="s">
        <v>49</v>
      </c>
      <c r="L54" s="52">
        <f t="shared" si="22"/>
        <v>0.62393128575486667</v>
      </c>
      <c r="M54" s="52">
        <f t="shared" si="22"/>
        <v>0.74226434655728901</v>
      </c>
      <c r="N54" s="50"/>
      <c r="O54" s="50"/>
      <c r="P54" s="50"/>
      <c r="Q54" s="50"/>
      <c r="R54" s="116">
        <f t="shared" si="21"/>
        <v>1.556585599526878</v>
      </c>
    </row>
    <row r="55" spans="2:18" x14ac:dyDescent="0.25">
      <c r="B55" s="50" t="s">
        <v>50</v>
      </c>
      <c r="C55" s="47">
        <f>C37/C56</f>
        <v>706.89695443095945</v>
      </c>
      <c r="D55" s="47">
        <f>D37/D56</f>
        <v>439.32858910891008</v>
      </c>
      <c r="E55" s="47">
        <f>E37/E56</f>
        <v>118.22438478747203</v>
      </c>
      <c r="F55" s="47">
        <f>F37/F56</f>
        <v>199.35451677852365</v>
      </c>
      <c r="G55" s="43">
        <f t="shared" si="19"/>
        <v>81.130131991051613</v>
      </c>
      <c r="H55" s="132">
        <f>H37/H56</f>
        <v>575.24487971762107</v>
      </c>
      <c r="I55" s="47"/>
      <c r="J55" s="47">
        <f t="shared" ref="J55:M55" si="23">J37/J56</f>
        <v>297.35608974857877</v>
      </c>
      <c r="K55" s="89">
        <f>J55-H55</f>
        <v>-277.88878996904231</v>
      </c>
      <c r="L55" s="47">
        <f t="shared" si="23"/>
        <v>258.83612291140759</v>
      </c>
      <c r="M55" s="47">
        <f t="shared" si="23"/>
        <v>305.26022910364696</v>
      </c>
      <c r="N55" s="50"/>
      <c r="O55" s="50"/>
      <c r="P55" s="50"/>
      <c r="Q55" s="50"/>
      <c r="R55" s="116">
        <f>H55-E55</f>
        <v>457.02049493014903</v>
      </c>
    </row>
    <row r="56" spans="2:18" x14ac:dyDescent="0.25">
      <c r="B56" s="50" t="s">
        <v>51</v>
      </c>
      <c r="C56" s="47">
        <v>4367</v>
      </c>
      <c r="D56" s="47">
        <v>4444</v>
      </c>
      <c r="E56" s="47">
        <v>4470</v>
      </c>
      <c r="F56" s="47">
        <v>4470</v>
      </c>
      <c r="G56" s="43">
        <f>F56-E56</f>
        <v>0</v>
      </c>
      <c r="H56" s="132">
        <v>4500</v>
      </c>
      <c r="I56" s="47"/>
      <c r="J56" s="47">
        <f>H56+40</f>
        <v>4540</v>
      </c>
      <c r="K56" s="90">
        <f>J56-H56</f>
        <v>40</v>
      </c>
      <c r="L56" s="47">
        <f>J56+40</f>
        <v>4580</v>
      </c>
      <c r="M56" s="47">
        <f>L56+40</f>
        <v>4620</v>
      </c>
      <c r="N56" s="50"/>
      <c r="O56" s="50"/>
      <c r="P56" s="50"/>
      <c r="Q56" s="50"/>
      <c r="R56" s="116">
        <f t="shared" si="21"/>
        <v>30</v>
      </c>
    </row>
    <row r="57" spans="2:18" s="100" customFormat="1" x14ac:dyDescent="0.25">
      <c r="B57" s="105"/>
      <c r="C57" s="105"/>
      <c r="D57" s="105"/>
      <c r="E57" s="105"/>
      <c r="F57" s="105"/>
      <c r="G57" s="105"/>
      <c r="H57" s="105"/>
      <c r="I57" s="105"/>
      <c r="J57" s="105"/>
      <c r="K57" s="105"/>
      <c r="L57" s="105"/>
      <c r="M57" s="105"/>
      <c r="N57" s="105"/>
    </row>
    <row r="58" spans="2:18" s="100" customFormat="1" x14ac:dyDescent="0.25">
      <c r="B58" s="105"/>
      <c r="C58" s="105"/>
      <c r="D58" s="105"/>
      <c r="E58" s="105"/>
      <c r="F58" s="105"/>
      <c r="G58" s="105"/>
      <c r="H58" s="105"/>
      <c r="I58" s="105"/>
      <c r="J58" s="105"/>
      <c r="K58" s="105"/>
      <c r="L58" s="105"/>
      <c r="M58" s="105"/>
      <c r="N58" s="105"/>
    </row>
    <row r="59" spans="2:18" s="100" customFormat="1" hidden="1" x14ac:dyDescent="0.25">
      <c r="B59" s="120" t="s">
        <v>52</v>
      </c>
      <c r="C59" s="123" t="s">
        <v>53</v>
      </c>
      <c r="D59" s="105"/>
      <c r="E59" s="105"/>
      <c r="F59" s="105"/>
      <c r="G59" s="105"/>
      <c r="H59" s="105"/>
      <c r="I59" s="105"/>
      <c r="J59" s="105"/>
      <c r="K59" s="105"/>
      <c r="L59" s="105"/>
      <c r="M59" s="105"/>
      <c r="N59" s="105"/>
    </row>
    <row r="60" spans="2:18" s="100" customFormat="1" hidden="1" x14ac:dyDescent="0.25">
      <c r="B60" s="105" t="s">
        <v>19</v>
      </c>
      <c r="C60" s="106">
        <f>J28</f>
        <v>11042933.647458548</v>
      </c>
      <c r="D60" s="106"/>
      <c r="E60" s="105"/>
      <c r="F60" s="105"/>
      <c r="G60" s="105"/>
      <c r="H60" s="105"/>
      <c r="I60" s="105"/>
      <c r="J60" s="105" t="s">
        <v>54</v>
      </c>
      <c r="K60" s="105"/>
      <c r="L60" s="105"/>
      <c r="M60" s="105"/>
      <c r="N60" s="105"/>
    </row>
    <row r="61" spans="2:18" s="100" customFormat="1" hidden="1" x14ac:dyDescent="0.25">
      <c r="B61" s="105" t="s">
        <v>20</v>
      </c>
      <c r="C61" s="106">
        <f>J29</f>
        <v>2638164</v>
      </c>
      <c r="D61" s="106"/>
      <c r="E61" s="105"/>
      <c r="F61" s="105"/>
      <c r="G61" s="105"/>
      <c r="H61" s="105"/>
      <c r="I61" s="105"/>
      <c r="J61" s="105">
        <v>2273796.4300000002</v>
      </c>
      <c r="K61" s="105"/>
      <c r="L61" s="106">
        <f>SUM(H49:M49)</f>
        <v>-245602.17298881686</v>
      </c>
      <c r="M61" s="106">
        <f>L61+J61</f>
        <v>2028194.2570111833</v>
      </c>
      <c r="N61" s="105"/>
    </row>
    <row r="62" spans="2:18" s="100" customFormat="1" hidden="1" x14ac:dyDescent="0.25">
      <c r="B62" s="105" t="s">
        <v>55</v>
      </c>
      <c r="C62" s="106">
        <f>J35</f>
        <v>-147483</v>
      </c>
      <c r="D62" s="106"/>
      <c r="E62" s="105"/>
      <c r="F62" s="105"/>
      <c r="G62" s="105"/>
      <c r="H62" s="105"/>
      <c r="I62" s="105"/>
      <c r="J62" s="105"/>
      <c r="K62" s="105"/>
      <c r="L62" s="105"/>
      <c r="M62" s="105"/>
      <c r="N62" s="105"/>
    </row>
    <row r="63" spans="2:18" s="100" customFormat="1" hidden="1" x14ac:dyDescent="0.25">
      <c r="B63" s="105" t="s">
        <v>30</v>
      </c>
      <c r="C63" s="105">
        <v>0</v>
      </c>
      <c r="D63" s="105"/>
      <c r="E63" s="105"/>
      <c r="F63" s="105"/>
      <c r="G63" s="105"/>
      <c r="H63" s="105"/>
      <c r="I63" s="105"/>
      <c r="J63" s="105"/>
      <c r="K63" s="105"/>
      <c r="L63" s="105"/>
      <c r="M63" s="105"/>
      <c r="N63" s="105"/>
    </row>
    <row r="64" spans="2:18" s="100" customFormat="1" hidden="1" x14ac:dyDescent="0.25">
      <c r="B64" s="105" t="s">
        <v>56</v>
      </c>
      <c r="C64" s="106">
        <f>J45</f>
        <v>0</v>
      </c>
      <c r="D64" s="106"/>
      <c r="E64" s="105"/>
      <c r="F64" s="105"/>
      <c r="G64" s="105"/>
      <c r="H64" s="105"/>
      <c r="I64" s="105"/>
      <c r="J64" s="105"/>
      <c r="K64" s="105"/>
      <c r="L64" s="105"/>
      <c r="M64" s="105"/>
      <c r="N64" s="105"/>
    </row>
    <row r="65" s="100" customFormat="1" x14ac:dyDescent="0.25"/>
    <row r="66" s="100" customFormat="1" x14ac:dyDescent="0.25"/>
    <row r="67" s="100" customFormat="1" x14ac:dyDescent="0.25"/>
    <row r="68" s="100" customFormat="1" x14ac:dyDescent="0.25"/>
    <row r="69" s="100" customFormat="1" x14ac:dyDescent="0.25"/>
    <row r="70" s="100" customFormat="1" x14ac:dyDescent="0.25"/>
    <row r="71" s="100" customFormat="1" x14ac:dyDescent="0.25"/>
    <row r="72" s="100" customFormat="1" x14ac:dyDescent="0.25"/>
    <row r="73" s="100" customFormat="1" x14ac:dyDescent="0.25"/>
    <row r="74" s="100" customFormat="1" x14ac:dyDescent="0.25"/>
    <row r="75" s="100" customFormat="1" x14ac:dyDescent="0.25"/>
    <row r="76" s="100" customFormat="1" x14ac:dyDescent="0.25"/>
    <row r="77" s="100" customFormat="1" x14ac:dyDescent="0.25"/>
    <row r="78" s="100" customFormat="1" x14ac:dyDescent="0.25"/>
    <row r="79" s="100" customFormat="1" x14ac:dyDescent="0.25"/>
    <row r="80" s="100" customFormat="1" x14ac:dyDescent="0.25"/>
    <row r="81" s="100" customFormat="1" x14ac:dyDescent="0.25"/>
    <row r="82" s="100" customFormat="1" x14ac:dyDescent="0.25"/>
    <row r="83" s="100" customFormat="1" x14ac:dyDescent="0.25"/>
    <row r="84" s="100" customFormat="1" x14ac:dyDescent="0.25"/>
    <row r="85" s="100" customFormat="1" x14ac:dyDescent="0.25"/>
    <row r="86" s="100" customFormat="1" x14ac:dyDescent="0.25"/>
    <row r="87" s="100" customFormat="1" x14ac:dyDescent="0.25"/>
    <row r="88" s="100" customFormat="1" x14ac:dyDescent="0.25"/>
    <row r="89" s="100" customFormat="1" x14ac:dyDescent="0.25"/>
    <row r="90" s="100" customFormat="1" x14ac:dyDescent="0.25"/>
    <row r="91" s="100" customFormat="1" x14ac:dyDescent="0.25"/>
    <row r="92" s="100" customFormat="1" x14ac:dyDescent="0.25"/>
    <row r="93" s="100" customFormat="1" x14ac:dyDescent="0.25"/>
    <row r="94" s="100" customFormat="1" x14ac:dyDescent="0.25"/>
    <row r="95" s="100" customFormat="1" x14ac:dyDescent="0.25"/>
    <row r="96" s="100" customFormat="1" x14ac:dyDescent="0.25"/>
    <row r="97" s="100" customFormat="1" x14ac:dyDescent="0.25"/>
    <row r="98" s="100" customFormat="1" x14ac:dyDescent="0.25"/>
    <row r="99" s="100" customFormat="1" x14ac:dyDescent="0.25"/>
    <row r="100" s="100" customFormat="1" x14ac:dyDescent="0.25"/>
    <row r="101" s="100" customFormat="1" x14ac:dyDescent="0.25"/>
    <row r="102" s="100" customFormat="1" x14ac:dyDescent="0.25"/>
    <row r="103" s="100" customFormat="1" x14ac:dyDescent="0.25"/>
    <row r="104" s="100" customFormat="1" x14ac:dyDescent="0.25"/>
    <row r="105" s="100" customFormat="1" x14ac:dyDescent="0.25"/>
    <row r="106" s="100" customFormat="1" x14ac:dyDescent="0.25"/>
    <row r="107" s="100" customFormat="1" x14ac:dyDescent="0.25"/>
    <row r="108" s="100" customFormat="1" x14ac:dyDescent="0.25"/>
    <row r="109" s="100" customFormat="1" x14ac:dyDescent="0.25"/>
    <row r="110" s="100" customFormat="1" x14ac:dyDescent="0.25"/>
    <row r="111" s="100" customFormat="1" x14ac:dyDescent="0.25"/>
    <row r="112" s="100" customFormat="1" x14ac:dyDescent="0.25"/>
    <row r="113" s="100" customFormat="1" x14ac:dyDescent="0.25"/>
    <row r="114" s="100" customFormat="1" x14ac:dyDescent="0.25"/>
    <row r="115" s="100" customFormat="1" x14ac:dyDescent="0.25"/>
    <row r="116" s="100" customFormat="1" x14ac:dyDescent="0.25"/>
    <row r="117" s="100" customFormat="1" x14ac:dyDescent="0.25"/>
    <row r="118" s="100" customFormat="1" x14ac:dyDescent="0.25"/>
    <row r="119" s="100" customFormat="1" x14ac:dyDescent="0.25"/>
    <row r="120" s="100" customFormat="1" x14ac:dyDescent="0.25"/>
    <row r="121" s="100" customFormat="1" x14ac:dyDescent="0.25"/>
    <row r="122" s="100" customFormat="1" x14ac:dyDescent="0.25"/>
    <row r="123" s="100" customFormat="1" x14ac:dyDescent="0.25"/>
    <row r="124" s="100" customFormat="1" x14ac:dyDescent="0.25"/>
    <row r="125" s="100" customFormat="1" x14ac:dyDescent="0.25"/>
    <row r="126" s="100" customFormat="1" x14ac:dyDescent="0.25"/>
    <row r="127" s="100" customFormat="1" x14ac:dyDescent="0.25"/>
    <row r="128" s="100" customFormat="1" x14ac:dyDescent="0.25"/>
    <row r="129" s="100" customFormat="1" x14ac:dyDescent="0.25"/>
    <row r="130" s="100" customFormat="1" x14ac:dyDescent="0.25"/>
    <row r="131" s="100" customFormat="1" x14ac:dyDescent="0.25"/>
    <row r="132" s="100" customFormat="1" x14ac:dyDescent="0.25"/>
    <row r="133" s="100" customFormat="1" x14ac:dyDescent="0.25"/>
    <row r="134" s="100" customFormat="1" x14ac:dyDescent="0.25"/>
    <row r="135" s="100" customFormat="1" x14ac:dyDescent="0.25"/>
    <row r="136" s="100" customFormat="1" x14ac:dyDescent="0.25"/>
    <row r="137" s="100" customFormat="1" x14ac:dyDescent="0.25"/>
    <row r="138" s="100" customFormat="1" x14ac:dyDescent="0.25"/>
    <row r="139" s="100" customFormat="1" x14ac:dyDescent="0.25"/>
    <row r="140" s="100" customFormat="1" x14ac:dyDescent="0.25"/>
    <row r="141" s="100" customFormat="1" x14ac:dyDescent="0.25"/>
    <row r="142" s="100" customFormat="1" x14ac:dyDescent="0.25"/>
    <row r="143" s="100" customFormat="1" x14ac:dyDescent="0.25"/>
    <row r="144" s="100" customFormat="1" x14ac:dyDescent="0.25"/>
    <row r="145" s="100" customFormat="1" x14ac:dyDescent="0.25"/>
    <row r="146" s="100" customFormat="1" x14ac:dyDescent="0.25"/>
    <row r="147" s="100" customFormat="1" x14ac:dyDescent="0.25"/>
    <row r="148" s="100" customFormat="1" x14ac:dyDescent="0.25"/>
    <row r="149" s="100" customFormat="1" x14ac:dyDescent="0.25"/>
    <row r="150" s="100" customFormat="1" x14ac:dyDescent="0.25"/>
    <row r="151" s="100" customFormat="1" x14ac:dyDescent="0.25"/>
    <row r="152" s="100" customFormat="1" x14ac:dyDescent="0.25"/>
    <row r="153" s="100" customFormat="1" x14ac:dyDescent="0.25"/>
    <row r="154" s="100" customFormat="1" x14ac:dyDescent="0.25"/>
    <row r="155" s="100" customFormat="1" x14ac:dyDescent="0.25"/>
    <row r="156" s="100" customFormat="1" x14ac:dyDescent="0.25"/>
    <row r="157" s="100" customFormat="1" x14ac:dyDescent="0.25"/>
    <row r="158" s="100" customFormat="1" x14ac:dyDescent="0.25"/>
    <row r="159" s="100" customFormat="1" x14ac:dyDescent="0.25"/>
    <row r="160" s="100" customFormat="1" x14ac:dyDescent="0.25"/>
    <row r="161" s="100" customFormat="1" x14ac:dyDescent="0.25"/>
    <row r="162" s="100" customFormat="1" x14ac:dyDescent="0.25"/>
    <row r="163" s="100" customFormat="1" x14ac:dyDescent="0.25"/>
    <row r="164" s="100" customFormat="1" x14ac:dyDescent="0.25"/>
    <row r="165" s="100" customFormat="1" x14ac:dyDescent="0.25"/>
    <row r="166" s="100" customFormat="1" x14ac:dyDescent="0.25"/>
    <row r="167" s="100" customFormat="1" x14ac:dyDescent="0.25"/>
    <row r="168" s="100" customFormat="1" x14ac:dyDescent="0.25"/>
    <row r="169" s="100" customFormat="1" x14ac:dyDescent="0.25"/>
    <row r="170" s="100" customFormat="1" x14ac:dyDescent="0.25"/>
    <row r="171" s="100" customFormat="1" x14ac:dyDescent="0.25"/>
    <row r="172" s="100" customFormat="1" x14ac:dyDescent="0.25"/>
    <row r="173" s="100" customFormat="1" x14ac:dyDescent="0.25"/>
    <row r="174" s="100" customFormat="1" x14ac:dyDescent="0.25"/>
    <row r="175" s="100" customFormat="1" x14ac:dyDescent="0.25"/>
    <row r="176" s="100" customFormat="1" x14ac:dyDescent="0.25"/>
    <row r="177" s="100" customFormat="1" x14ac:dyDescent="0.25"/>
    <row r="178" s="100" customFormat="1" x14ac:dyDescent="0.25"/>
    <row r="179" s="100" customFormat="1" x14ac:dyDescent="0.25"/>
    <row r="180" s="100" customFormat="1" x14ac:dyDescent="0.25"/>
    <row r="181" s="100" customFormat="1" x14ac:dyDescent="0.25"/>
    <row r="182" s="100" customFormat="1" x14ac:dyDescent="0.25"/>
    <row r="183" s="100" customFormat="1" x14ac:dyDescent="0.25"/>
    <row r="184" s="100" customFormat="1" x14ac:dyDescent="0.25"/>
    <row r="185" s="100" customFormat="1" x14ac:dyDescent="0.25"/>
    <row r="186" s="100" customFormat="1" x14ac:dyDescent="0.25"/>
    <row r="187" s="100" customFormat="1" x14ac:dyDescent="0.25"/>
    <row r="188" s="100" customFormat="1" x14ac:dyDescent="0.25"/>
    <row r="189" s="100" customFormat="1" x14ac:dyDescent="0.25"/>
    <row r="190" s="100" customFormat="1" x14ac:dyDescent="0.25"/>
    <row r="191" s="100" customFormat="1" x14ac:dyDescent="0.25"/>
    <row r="192" s="100" customFormat="1" x14ac:dyDescent="0.25"/>
    <row r="193" s="100" customFormat="1" x14ac:dyDescent="0.25"/>
    <row r="194" s="100" customFormat="1" x14ac:dyDescent="0.25"/>
    <row r="195" s="100" customFormat="1" x14ac:dyDescent="0.25"/>
    <row r="196" s="100" customFormat="1" x14ac:dyDescent="0.25"/>
    <row r="197" s="100" customFormat="1" x14ac:dyDescent="0.25"/>
    <row r="198" s="100" customFormat="1" x14ac:dyDescent="0.25"/>
    <row r="199" s="100" customFormat="1" x14ac:dyDescent="0.25"/>
    <row r="200" s="100" customFormat="1" x14ac:dyDescent="0.25"/>
    <row r="201" s="100" customFormat="1" x14ac:dyDescent="0.25"/>
    <row r="202" s="100" customFormat="1" x14ac:dyDescent="0.25"/>
    <row r="203" s="100" customFormat="1" x14ac:dyDescent="0.25"/>
    <row r="204" s="100" customFormat="1" x14ac:dyDescent="0.25"/>
    <row r="205" s="100" customFormat="1" x14ac:dyDescent="0.25"/>
    <row r="206" s="100" customFormat="1" x14ac:dyDescent="0.25"/>
    <row r="207" s="100" customFormat="1" x14ac:dyDescent="0.25"/>
  </sheetData>
  <conditionalFormatting sqref="R8">
    <cfRule type="dataBar" priority="3">
      <dataBar>
        <cfvo type="min"/>
        <cfvo type="max"/>
        <color rgb="FF63C384"/>
      </dataBar>
      <extLst>
        <ext xmlns:x14="http://schemas.microsoft.com/office/spreadsheetml/2009/9/main" uri="{B025F937-C7B1-47D3-B67F-A62EFF666E3E}">
          <x14:id>{88AD6313-526F-4EC2-90D6-3F21778C6C08}</x14:id>
        </ext>
      </extLst>
    </cfRule>
  </conditionalFormatting>
  <conditionalFormatting sqref="R9:R26 R28:R38 R40:R49">
    <cfRule type="dataBar" priority="2">
      <dataBar>
        <cfvo type="min"/>
        <cfvo type="max"/>
        <color rgb="FF63C384"/>
      </dataBar>
      <extLst>
        <ext xmlns:x14="http://schemas.microsoft.com/office/spreadsheetml/2009/9/main" uri="{B025F937-C7B1-47D3-B67F-A62EFF666E3E}">
          <x14:id>{1906F6F4-6DDB-401E-B42A-09E061F3B353}</x14:id>
        </ext>
      </extLst>
    </cfRule>
  </conditionalFormatting>
  <conditionalFormatting sqref="R53:R56">
    <cfRule type="dataBar" priority="1">
      <dataBar>
        <cfvo type="min"/>
        <cfvo type="max"/>
        <color rgb="FF63C384"/>
      </dataBar>
      <extLst>
        <ext xmlns:x14="http://schemas.microsoft.com/office/spreadsheetml/2009/9/main" uri="{B025F937-C7B1-47D3-B67F-A62EFF666E3E}">
          <x14:id>{5AC456C5-322A-40FD-8E6A-D38CFD8371BD}</x14:id>
        </ext>
      </extLst>
    </cfRule>
  </conditionalFormatting>
  <printOptions gridLines="1"/>
  <pageMargins left="0.75" right="0.25" top="0.5" bottom="0.25" header="0.3" footer="0.3"/>
  <pageSetup paperSize="9" orientation="portrait" r:id="rId1"/>
  <ignoredErrors>
    <ignoredError sqref="G53:G55 I49 I43 I37 I35 I23 I25 I12" formula="1"/>
  </ignoredErrors>
  <legacyDrawing r:id="rId2"/>
  <extLst>
    <ext xmlns:x14="http://schemas.microsoft.com/office/spreadsheetml/2009/9/main" uri="{78C0D931-6437-407d-A8EE-F0AAD7539E65}">
      <x14:conditionalFormattings>
        <x14:conditionalFormatting xmlns:xm="http://schemas.microsoft.com/office/excel/2006/main">
          <x14:cfRule type="dataBar" id="{88AD6313-526F-4EC2-90D6-3F21778C6C08}">
            <x14:dataBar minLength="0" maxLength="100" gradient="0">
              <x14:cfvo type="autoMin"/>
              <x14:cfvo type="autoMax"/>
              <x14:negativeFillColor rgb="FFFF0000"/>
              <x14:axisColor rgb="FF000000"/>
            </x14:dataBar>
          </x14:cfRule>
          <xm:sqref>R8</xm:sqref>
        </x14:conditionalFormatting>
        <x14:conditionalFormatting xmlns:xm="http://schemas.microsoft.com/office/excel/2006/main">
          <x14:cfRule type="dataBar" id="{1906F6F4-6DDB-401E-B42A-09E061F3B353}">
            <x14:dataBar minLength="0" maxLength="100" gradient="0">
              <x14:cfvo type="autoMin"/>
              <x14:cfvo type="autoMax"/>
              <x14:negativeFillColor rgb="FFFF0000"/>
              <x14:axisColor rgb="FF000000"/>
            </x14:dataBar>
          </x14:cfRule>
          <xm:sqref>R9:R26 R28:R38 R40:R49</xm:sqref>
        </x14:conditionalFormatting>
        <x14:conditionalFormatting xmlns:xm="http://schemas.microsoft.com/office/excel/2006/main">
          <x14:cfRule type="dataBar" id="{5AC456C5-322A-40FD-8E6A-D38CFD8371BD}">
            <x14:dataBar minLength="0" maxLength="100" gradient="0">
              <x14:cfvo type="autoMin"/>
              <x14:cfvo type="autoMax"/>
              <x14:negativeFillColor rgb="FFFF0000"/>
              <x14:axisColor rgb="FF000000"/>
            </x14:dataBar>
          </x14:cfRule>
          <xm:sqref>R53:R56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F21AE9322E195A4B97628D774E8EAA26" ma:contentTypeVersion="10" ma:contentTypeDescription="Luo uusi asiakirja." ma:contentTypeScope="" ma:versionID="1cf66fbcf92115ac8a065f042915adc3">
  <xsd:schema xmlns:xsd="http://www.w3.org/2001/XMLSchema" xmlns:xs="http://www.w3.org/2001/XMLSchema" xmlns:p="http://schemas.microsoft.com/office/2006/metadata/properties" xmlns:ns2="06f701b2-b831-4bed-9c34-68612e60dc4e" targetNamespace="http://schemas.microsoft.com/office/2006/metadata/properties" ma:root="true" ma:fieldsID="addd53b890f6f40c6d07600f5c527df1" ns2:_="">
    <xsd:import namespace="06f701b2-b831-4bed-9c34-68612e60dc4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f701b2-b831-4bed-9c34-68612e60dc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B5BDFE-C4CF-4BAA-8F27-223E54612B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f701b2-b831-4bed-9c34-68612e60dc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E73CDC-436E-4306-8C44-2DD91590043D}">
  <ds:schemaRefs>
    <ds:schemaRef ds:uri="http://schemas.microsoft.com/sharepoint/v3/contenttype/forms"/>
  </ds:schemaRefs>
</ds:datastoreItem>
</file>

<file path=customXml/itemProps3.xml><?xml version="1.0" encoding="utf-8"?>
<ds:datastoreItem xmlns:ds="http://schemas.openxmlformats.org/officeDocument/2006/customXml" ds:itemID="{6480975C-CF4E-4A84-9020-E41548752844}">
  <ds:schemaRefs>
    <ds:schemaRef ds:uri="06f701b2-b831-4bed-9c34-68612e60dc4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Koko kunta 06_2022</vt:lpstr>
      <vt:lpstr>Tuloslaskelma ulk ja sis_esitys</vt:lpstr>
      <vt:lpstr>Tuloslaskelma ulk ja 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Kohonen Aki</cp:lastModifiedBy>
  <cp:lastPrinted>2022-05-04T05:31:31Z</cp:lastPrinted>
  <dcterms:created xsi:type="dcterms:W3CDTF">2022-04-30T15:19:30Z</dcterms:created>
  <dcterms:modified xsi:type="dcterms:W3CDTF">2022-08-31T09:26:56Z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0x010100F21AE9322E195A4B97628D774E8EAA26</vt:lpwstr>
  </property>
</Properties>
</file>